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AlgorithmName="SHA-512" workbookHashValue="T5tuE3j2vgNQVVYQypVYn2CmG4pOGal37xjVTTxWEQx0N6u0Q9DrvUwMuBEW8Sjirg+5WRUrGE6QBhA2iIH8lQ==" workbookSaltValue="czh2Fhd960c1U5iCOuIs4Q==" workbookSpinCount="100000" lockStructure="1"/>
  <bookViews>
    <workbookView xWindow="0" yWindow="285" windowWidth="15480" windowHeight="8505"/>
  </bookViews>
  <sheets>
    <sheet name="Downtime Calculator Purpose" sheetId="3" r:id="rId1"/>
    <sheet name="Instructions" sheetId="2" r:id="rId2"/>
    <sheet name="Downtime Calculator" sheetId="1" r:id="rId3"/>
  </sheets>
  <calcPr calcId="145621"/>
</workbook>
</file>

<file path=xl/calcChain.xml><?xml version="1.0" encoding="utf-8"?>
<calcChain xmlns="http://schemas.openxmlformats.org/spreadsheetml/2006/main">
  <c r="A23" i="1" l="1"/>
  <c r="A12" i="1"/>
  <c r="A11" i="1"/>
  <c r="A10" i="1"/>
  <c r="A9" i="1"/>
  <c r="A6" i="1"/>
  <c r="A5" i="1"/>
  <c r="A2" i="1"/>
  <c r="A3" i="1"/>
  <c r="B5" i="1" l="1"/>
  <c r="B6" i="1"/>
  <c r="B15" i="1"/>
  <c r="B13" i="1" s="1"/>
  <c r="B14" i="1"/>
  <c r="B9" i="1"/>
  <c r="B10" i="1"/>
  <c r="B11" i="1"/>
  <c r="E3" i="1"/>
  <c r="B21" i="1"/>
  <c r="B3" i="1"/>
  <c r="B2" i="1"/>
  <c r="I4" i="1" s="1"/>
  <c r="G4" i="2" s="1"/>
  <c r="D27" i="1" l="1"/>
  <c r="E27" i="1" s="1"/>
  <c r="F27" i="1" s="1"/>
  <c r="E6" i="1"/>
  <c r="E4" i="1"/>
  <c r="E7" i="1"/>
  <c r="E5" i="1"/>
  <c r="B7" i="1"/>
  <c r="B24" i="1" s="1"/>
  <c r="E10" i="1"/>
  <c r="G3" i="1"/>
  <c r="E3" i="2" s="1"/>
  <c r="E4" i="2" s="1"/>
  <c r="E5" i="2" s="1"/>
  <c r="E6" i="2" s="1"/>
  <c r="E7" i="2" s="1"/>
  <c r="B25" i="1"/>
  <c r="E11" i="1"/>
  <c r="B16" i="1"/>
  <c r="B18" i="1"/>
  <c r="H4" i="1"/>
  <c r="F4" i="2" s="1"/>
  <c r="B17" i="1"/>
  <c r="E12" i="1"/>
  <c r="D26" i="1" l="1"/>
  <c r="E26" i="1" s="1"/>
  <c r="F26" i="1" s="1"/>
  <c r="D23" i="1"/>
  <c r="E23" i="1" s="1"/>
  <c r="F23" i="1" s="1"/>
  <c r="D25" i="1"/>
  <c r="E25" i="1" s="1"/>
  <c r="F25" i="1" s="1"/>
  <c r="D24" i="1"/>
  <c r="E24" i="1" s="1"/>
  <c r="F24" i="1" s="1"/>
  <c r="D16" i="1"/>
  <c r="E16" i="1" s="1"/>
  <c r="F16" i="1" s="1"/>
  <c r="D18" i="1"/>
  <c r="E18" i="1" s="1"/>
  <c r="F18" i="1" s="1"/>
  <c r="D17" i="1"/>
  <c r="E17" i="1" s="1"/>
  <c r="F17" i="1" s="1"/>
  <c r="D19" i="1"/>
  <c r="E19" i="1" s="1"/>
  <c r="F19" i="1" s="1"/>
  <c r="D15" i="1"/>
  <c r="E15" i="1" s="1"/>
  <c r="F15" i="1" s="1"/>
  <c r="H26" i="1"/>
  <c r="G4" i="1"/>
  <c r="G5" i="1" s="1"/>
  <c r="G6" i="1" s="1"/>
  <c r="G7" i="1" s="1"/>
  <c r="E9" i="1"/>
  <c r="H27" i="1"/>
  <c r="F10" i="2" s="1"/>
  <c r="G24" i="1" l="1"/>
  <c r="H25" i="1"/>
  <c r="H17" i="1"/>
  <c r="G19" i="1"/>
  <c r="H15" i="1"/>
  <c r="H18" i="1"/>
  <c r="H16" i="1"/>
  <c r="H19" i="1"/>
  <c r="I5" i="1" s="1"/>
  <c r="G26" i="1"/>
  <c r="H23" i="1"/>
  <c r="G23" i="1"/>
  <c r="G25" i="1"/>
  <c r="G17" i="1"/>
  <c r="G16" i="1"/>
  <c r="G15" i="1"/>
  <c r="G18" i="1"/>
  <c r="G27" i="1"/>
  <c r="H5" i="1" s="1"/>
  <c r="F5" i="2" s="1"/>
  <c r="I24" i="1"/>
  <c r="H24" i="1"/>
  <c r="I19" i="1"/>
  <c r="I15" i="1"/>
  <c r="H12" i="1"/>
  <c r="H10" i="1"/>
  <c r="H11" i="1"/>
  <c r="E10" i="2" l="1"/>
  <c r="G10" i="2" s="1"/>
  <c r="G12" i="1"/>
  <c r="E13" i="2" s="1"/>
  <c r="G10" i="1"/>
  <c r="E11" i="2" s="1"/>
  <c r="G11" i="1"/>
  <c r="E12" i="2" s="1"/>
  <c r="I23" i="1"/>
  <c r="I25" i="1"/>
  <c r="I26" i="1"/>
  <c r="I18" i="1"/>
  <c r="I16" i="1"/>
  <c r="I27" i="1"/>
  <c r="I17" i="1"/>
  <c r="F11" i="2"/>
  <c r="F13" i="2"/>
  <c r="F12" i="2"/>
  <c r="G5" i="2"/>
  <c r="G7" i="2" s="1"/>
  <c r="I7" i="1"/>
  <c r="G12" i="2" l="1"/>
  <c r="G11" i="2"/>
  <c r="I10" i="1"/>
  <c r="G13" i="2"/>
  <c r="I12" i="1"/>
  <c r="I11" i="1"/>
  <c r="H7" i="1"/>
  <c r="F7" i="2" s="1"/>
</calcChain>
</file>

<file path=xl/sharedStrings.xml><?xml version="1.0" encoding="utf-8"?>
<sst xmlns="http://schemas.openxmlformats.org/spreadsheetml/2006/main" count="125" uniqueCount="93">
  <si>
    <t>Total Cost</t>
  </si>
  <si>
    <t xml:space="preserve"> </t>
  </si>
  <si>
    <t>Weeks</t>
  </si>
  <si>
    <t>Days</t>
  </si>
  <si>
    <t>Hours</t>
  </si>
  <si>
    <t>Minutes</t>
  </si>
  <si>
    <t>Uptime By</t>
  </si>
  <si>
    <t>Hour</t>
  </si>
  <si>
    <t>Day</t>
  </si>
  <si>
    <t>Downtime Cost</t>
  </si>
  <si>
    <t>Fiscal Year</t>
  </si>
  <si>
    <t>Week</t>
  </si>
  <si>
    <t>Month</t>
  </si>
  <si>
    <t>Year</t>
  </si>
  <si>
    <t>Production Value by Hour by Site</t>
  </si>
  <si>
    <t>Income Value by Hour by Site</t>
  </si>
  <si>
    <t>Custom Value by Hour by Site</t>
  </si>
  <si>
    <t>Number of Locations</t>
  </si>
  <si>
    <t>Months</t>
  </si>
  <si>
    <t>Hour (60 Minute)</t>
  </si>
  <si>
    <t>Day (24 Hour)</t>
  </si>
  <si>
    <t>Week (7 Day)</t>
  </si>
  <si>
    <t>Month (4 Week)</t>
  </si>
  <si>
    <t xml:space="preserve">Year (12 Month) </t>
  </si>
  <si>
    <t>Work Days in a Year</t>
  </si>
  <si>
    <t>Work Hours in a Day</t>
  </si>
  <si>
    <t>Work Days in a Week</t>
  </si>
  <si>
    <t>Calculate Your Downtime Cost/Loss For Labor, Production, Income and Custom Values Based on Any Work Schedule</t>
  </si>
  <si>
    <t>Total Labor Cost</t>
  </si>
  <si>
    <t>Total Production</t>
  </si>
  <si>
    <t>Total Custom</t>
  </si>
  <si>
    <t>Cost and Income For 1-8 Hour Shift</t>
  </si>
  <si>
    <t>Percent of People at Sites Affected by the Downtime</t>
  </si>
  <si>
    <t>Downtime Labor Cost</t>
  </si>
  <si>
    <t>2 Year Cost</t>
  </si>
  <si>
    <t>5 Year Cost</t>
  </si>
  <si>
    <t>10 Year Cost</t>
  </si>
  <si>
    <t>Gross % Loss of Profit</t>
  </si>
  <si>
    <t>Time Span Of Cost</t>
  </si>
  <si>
    <t>Possible % Profit Increase</t>
  </si>
  <si>
    <t>Yearly Cost Labor Breakdown</t>
  </si>
  <si>
    <t>Average Location Cost Labor Breakdown</t>
  </si>
  <si>
    <t>Total Yearly Gross Income and Cost Breakdown</t>
  </si>
  <si>
    <t>Average Location Gross Income and Cost Breakdown</t>
  </si>
  <si>
    <t>Percentage of Up Time Desired in %</t>
  </si>
  <si>
    <t xml:space="preserve">Work Hours in a Day </t>
  </si>
  <si>
    <t>Company's Gross Profit Margin (in Percentages)</t>
  </si>
  <si>
    <t>Total Labor Cost Per Year (in Dollars)</t>
  </si>
  <si>
    <t>Total Production Value Per Year (in Dollars)</t>
  </si>
  <si>
    <t>Total Other Income Value Per Year (in Dollars)</t>
  </si>
  <si>
    <t>Total Custom Value Per Year (in Dollars)</t>
  </si>
  <si>
    <t>Total Overhead Cost (in Dollars)</t>
  </si>
  <si>
    <t>Instructions For Downtime Calculator</t>
  </si>
  <si>
    <t>Gross Profit Per Location</t>
  </si>
  <si>
    <t>Total Lost Profit Per Location</t>
  </si>
  <si>
    <t>Quick Look at Profit/Loss</t>
  </si>
  <si>
    <t>Down Time For Year Per Location</t>
  </si>
  <si>
    <t>Total Equipment Replacement or Repair Cost Value Per Year (in Dollars)</t>
  </si>
  <si>
    <t xml:space="preserve">Downtime Calculator Purpose </t>
  </si>
  <si>
    <t>1 Year Cost</t>
  </si>
  <si>
    <t>The purpose of the "Downtime Calculator" is to quickly show any type of company the effects of downtime on their gross profit. SPGS developed an excel spreadsheet for entering custom data from areas of any company’s financial sheet or actual operation cost, production schedule or sales volume. All variable custom fields to enter data are highlighted in yellow. The spreadsheet automatically calculates changes as they are made to the data fields from the "Instructions" tab page.</t>
  </si>
  <si>
    <t>Many different types of equipment today are advertised as capable of “Five Nine’s” (99.999%) of uptime when you purchase the equipment. This calculator can assist a company in determining just what “Five Nine’s” of uptime means financially. When your company’s data is entered into, the spreadsheet it can be determined what percentage of uptime your facility should maintain for your desired maximum profitability. The spreadsheet calculates your losses when your downtime increases for any reason planned or unplanned.</t>
  </si>
  <si>
    <t>The calculator uses Labor, Overhead, Production and/or Income, Equipment Replacement, and Equipment Repair cost to do the calculations.</t>
  </si>
  <si>
    <t>The percentage of uptime should be based on your company’s past history of equipment outages from normal operations and utility power failure. Naturally, when the utility power fails for the facility everyone is affected except where an uninterrupted power source would be in place. Even a backup generator has some time frame of electrical outage before power is restored. If the backup generator does not serve the entire facility, some areas are still without power until the electrical utility power is restored. Typically, equipment failures inside the building will occur more frequently than the electrical utility will fail.</t>
  </si>
  <si>
    <t>Electrical utilities typically provided service on an average of 99.5% of the time across the United States. SPGS used one company’s utility history over a seven (7) year span that had an electrical utility average of 99.63% uptime. This is just a little better uptime number then the average of 99.5% across the USA.</t>
  </si>
  <si>
    <t>When factoring in internal equipment failures the total loss for ten years because of electrical failures our sample company losses would be $1,850,000 labor and $9,998,000 from production loss. This would be an average gross profit loss of 6.55%.over ten years or $2,603,000.</t>
  </si>
  <si>
    <t>Over the ten-year period, it is very apparent that the best thing to do is invest some of these future loss dollars into methods of preventing these failures in the first place. Please remember the actual total downtime average over the ten-year period averaged only 1.85% downtime. If all downtime were prevented that would mean an 87.18% increase in gross profits, not bad for saving only 1.85% of downtime</t>
  </si>
  <si>
    <t>Please utilize the calculator and discover what level of uptime your company should maintain for maximum profit margins. The calculator clearly shows downtime will cost your company lost profits. Once the downtime percentage is discovered, it is clearly shown that when an outage occurs the money and profits are gone.</t>
  </si>
  <si>
    <t>SPGS believes that the calculator should be used as an investment tool. If nothing is done to prevent the downtime than these losses will continue as they have had in the past. One might call this a cost of doing business. However, if preventive measures are put in place to reduce or eliminate downtime losses the downtime percentage will raise toward the “Five Nine’s” of service and profits will go up. One might call this a method of doing business.</t>
  </si>
  <si>
    <t>Choices can be made as to what areas within the facility are most critical and protect those areas. If one elects to do nothing to prevent the downtime then these losses will continue to occur. If downtime was listed in the yearly budget as a fixed line item cost, most decision makers would review and challenge the need for these costs and at least suggest reducing these costs during normal or abnormal budget cycles.</t>
  </si>
  <si>
    <t>“Five Nine’s” of equipment service uptime is probably a financially impossible goal for the total facility. However, it is up to the decision makers to determine what level of uptime is probable and affordable within critical areas of the facility.</t>
  </si>
  <si>
    <t>To use calculator click the "Instructions" tab and following the instructions and insert required data. To see your results click the "Downtime Calculator" tab.</t>
  </si>
  <si>
    <t>When printing the downtime calculator use 8 1/2 X 11 paper for Downtime Calculator Purpose Sheet and the Instruction Sheet. Use 8 1/2 X 14 paper for the Downtime Calculator Sheet.</t>
  </si>
  <si>
    <t>Total Production Value by Hour All Sites (in Dollars)</t>
  </si>
  <si>
    <t>Total Labor Hourly Cost All Sites (in Dollars)</t>
  </si>
  <si>
    <t>`</t>
  </si>
  <si>
    <t xml:space="preserve"> Total Downtime Cost</t>
  </si>
  <si>
    <t>Total Other</t>
  </si>
  <si>
    <t>Real Cost</t>
  </si>
  <si>
    <t>Production Loss</t>
  </si>
  <si>
    <t>Possible Production</t>
  </si>
  <si>
    <t>Possible Cost</t>
  </si>
  <si>
    <t>Production Output</t>
  </si>
  <si>
    <t>Downtime Production</t>
  </si>
  <si>
    <t>SPGS believes using this spreadsheet clearly shows downtime is very expensive. SPGS cannot prevent electrical utility loss of power to the facility however; SPGS has the experience and service capabilities that can assist your company in reducing your downtime and increasing your profits from equipment and system failures with the facility. To start saving money now please use the calculator and give us a call at 1-419-522-3030 to reduce your yearly loses to an acceptable level.</t>
  </si>
  <si>
    <t>The sample company’s spreadsheet shows an average yearly loss, just downtime from the utility, was $37,000 a year from labor and $199,800 in sales from lost production time. The total loss for ten years because of utility failures would be $370,000 labor and $1,998,000 on sales from lost production time. The spreadsheet also shows the percentage of gross profits these losses cost our sample company. For this sample company we start every year knowing we will lose and average 0.37% from labor and lose production just because the electrical power went off line. It is plain to see that investing in an emergency generator could be one of the best investments for the facility.</t>
  </si>
  <si>
    <t>In addition to just losses from electrical utility power failure, many different power disturbance studies over the years have stated consistently that utility failures account for about twenty percent (20%) of all equipment outages and failures and the facilities wiring and equipment account for the other 80% of outages and failures. Factoring in that data for calculating losses then this sample company would really be averaging a maximum 98.15% of uptime, which means $185,463 loss from labor and using the 7.5% profit margin another $999,000 from production due to all electrical failures each year. This comes out to a gross profit loss of 6.55% or $260,925.</t>
  </si>
  <si>
    <t>Your company will have different numbers however if you ever want to restore the sample company's information it is here.</t>
  </si>
  <si>
    <t>Using the information below will automatically fill in the fields required for the Downtime Calculator. Company data information from the "Light Green" area needs to be inserted in the "Yellow" area to automatically calculate your facility's downtime cost or loss on the Downtime Calculator Sheet. The "Quick Look at Profit/Loss" to your right will change on this screen also.</t>
  </si>
  <si>
    <t>Possible Profit Increase %</t>
  </si>
  <si>
    <t>The losses shown could be more or less over any 10 tear period. The calculator in an indication for the amount of money lost over this time spend. With investing money on correcting and preventing these type of problems those losses would be reduced every year. It is even possible to invest in some forms of backup power and then even when the utility is down some or all production may not be lost.</t>
  </si>
  <si>
    <t>The extra loss from non sales production hours were calculated based upon 7.5% gross profit from lost production.</t>
  </si>
  <si>
    <t>On the instruction page you enter required data and the downtime calculator does the rest. Our sample company in 2016 had a gross profit before taxes of 7.5%. $7,500,000 un total labor charges. $2,500,000 in total overhead cost. $54,000,000 in total sales from production. $25,000 in equipment replacement and repair and return cost from outages in 2016. The company ran 1 shift of 8 hour 5 days a week. They only had 1 location. From electrical utility outages and from other equipment failures they had a total uptime of 98.15%. For this company an outage effects 100% of the workers.</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</si>
</sst>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quot;$&quot;#,##0"/>
    <numFmt numFmtId="165" formatCode="&quot;$&quot;#,##0.00"/>
    <numFmt numFmtId="166" formatCode="0.000"/>
    <numFmt numFmtId="167" formatCode="0.000%"/>
    <numFmt numFmtId="168" formatCode="0.0000%"/>
    <numFmt numFmtId="169" formatCode="0.000000000000000%"/>
    <numFmt numFmtId="170" formatCode="0.00000%"/>
  </numFmts>
  <fonts count="18" x14ac:knownFonts="1">
    <font>
      <sz val="10"/>
      <name val="Arial"/>
    </font>
    <font>
      <sz val="8"/>
      <name val="Arial"/>
      <family val="2"/>
    </font>
    <font>
      <sz val="10"/>
      <name val="Arial"/>
      <family val="2"/>
    </font>
    <font>
      <b/>
      <sz val="22"/>
      <name val="Arial"/>
      <family val="2"/>
    </font>
    <font>
      <b/>
      <sz val="14"/>
      <name val="Arial"/>
      <family val="2"/>
    </font>
    <font>
      <b/>
      <sz val="12"/>
      <name val="Arial"/>
      <family val="2"/>
    </font>
    <font>
      <sz val="12"/>
      <name val="Arial"/>
      <family val="2"/>
    </font>
    <font>
      <b/>
      <sz val="20"/>
      <name val="Arial"/>
      <family val="2"/>
    </font>
    <font>
      <sz val="20"/>
      <name val="Arial"/>
      <family val="2"/>
    </font>
    <font>
      <b/>
      <sz val="11"/>
      <name val="Arial"/>
      <family val="2"/>
    </font>
    <font>
      <sz val="11"/>
      <name val="Arial"/>
      <family val="2"/>
    </font>
    <font>
      <b/>
      <sz val="11.5"/>
      <name val="Arial"/>
      <family val="2"/>
    </font>
    <font>
      <sz val="11.5"/>
      <name val="Arial"/>
      <family val="2"/>
    </font>
    <font>
      <b/>
      <sz val="11.5"/>
      <color indexed="10"/>
      <name val="Arial"/>
      <family val="2"/>
    </font>
    <font>
      <b/>
      <sz val="18"/>
      <color theme="1"/>
      <name val="Arial"/>
      <family val="2"/>
    </font>
    <font>
      <b/>
      <sz val="18"/>
      <name val="Arial"/>
      <family val="2"/>
    </font>
    <font>
      <b/>
      <sz val="16"/>
      <color indexed="10"/>
      <name val="Arial"/>
      <family val="2"/>
    </font>
    <font>
      <sz val="14"/>
      <name val="Arial"/>
      <family val="2"/>
    </font>
  </fonts>
  <fills count="21">
    <fill>
      <patternFill patternType="none"/>
    </fill>
    <fill>
      <patternFill patternType="gray125"/>
    </fill>
    <fill>
      <patternFill patternType="solid">
        <fgColor indexed="22"/>
        <bgColor indexed="64"/>
      </patternFill>
    </fill>
    <fill>
      <patternFill patternType="solid">
        <fgColor indexed="42"/>
        <bgColor indexed="64"/>
      </patternFill>
    </fill>
    <fill>
      <patternFill patternType="solid">
        <fgColor indexed="41"/>
        <bgColor indexed="64"/>
      </patternFill>
    </fill>
    <fill>
      <patternFill patternType="solid">
        <fgColor indexed="11"/>
        <bgColor indexed="64"/>
      </patternFill>
    </fill>
    <fill>
      <patternFill patternType="solid">
        <fgColor indexed="53"/>
        <bgColor indexed="64"/>
      </patternFill>
    </fill>
    <fill>
      <patternFill patternType="solid">
        <fgColor indexed="43"/>
        <bgColor indexed="64"/>
      </patternFill>
    </fill>
    <fill>
      <patternFill patternType="solid">
        <fgColor indexed="45"/>
        <bgColor indexed="64"/>
      </patternFill>
    </fill>
    <fill>
      <patternFill patternType="solid">
        <fgColor indexed="13"/>
        <bgColor indexed="64"/>
      </patternFill>
    </fill>
    <fill>
      <patternFill patternType="solid">
        <fgColor indexed="47"/>
        <bgColor indexed="64"/>
      </patternFill>
    </fill>
    <fill>
      <patternFill patternType="solid">
        <fgColor indexed="52"/>
        <bgColor indexed="64"/>
      </patternFill>
    </fill>
    <fill>
      <patternFill patternType="solid">
        <fgColor indexed="44"/>
        <bgColor indexed="64"/>
      </patternFill>
    </fill>
    <fill>
      <patternFill patternType="solid">
        <fgColor rgb="FFFFC000"/>
        <bgColor indexed="64"/>
      </patternFill>
    </fill>
    <fill>
      <patternFill patternType="solid">
        <fgColor rgb="FF00FF00"/>
        <bgColor indexed="64"/>
      </patternFill>
    </fill>
    <fill>
      <patternFill patternType="solid">
        <fgColor rgb="FFFF6600"/>
        <bgColor indexed="64"/>
      </patternFill>
    </fill>
    <fill>
      <patternFill patternType="solid">
        <fgColor rgb="FFFFCC99"/>
        <bgColor indexed="64"/>
      </patternFill>
    </fill>
    <fill>
      <patternFill patternType="solid">
        <fgColor rgb="FFFF99CC"/>
        <bgColor indexed="64"/>
      </patternFill>
    </fill>
    <fill>
      <patternFill patternType="solid">
        <fgColor rgb="FFFFFF99"/>
        <bgColor indexed="64"/>
      </patternFill>
    </fill>
    <fill>
      <patternFill patternType="solid">
        <fgColor rgb="FFCCFFFF"/>
        <bgColor indexed="64"/>
      </patternFill>
    </fill>
    <fill>
      <patternFill patternType="solid">
        <fgColor rgb="FFC0C0C0"/>
        <bgColor indexed="64"/>
      </patternFill>
    </fill>
  </fills>
  <borders count="21">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top/>
      <bottom/>
      <diagonal/>
    </border>
    <border>
      <left style="medium">
        <color indexed="64"/>
      </left>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right/>
      <top style="medium">
        <color indexed="64"/>
      </top>
      <bottom style="medium">
        <color indexed="64"/>
      </bottom>
      <diagonal/>
    </border>
    <border>
      <left style="dashed">
        <color indexed="64"/>
      </left>
      <right style="dashed">
        <color indexed="64"/>
      </right>
      <top/>
      <bottom style="dashed">
        <color indexed="64"/>
      </bottom>
      <diagonal/>
    </border>
    <border>
      <left style="thin">
        <color indexed="64"/>
      </left>
      <right style="medium">
        <color indexed="64"/>
      </right>
      <top/>
      <bottom style="medium">
        <color indexed="64"/>
      </bottom>
      <diagonal/>
    </border>
    <border>
      <left style="thin">
        <color indexed="64"/>
      </left>
      <right style="medium">
        <color indexed="64"/>
      </right>
      <top/>
      <bottom/>
      <diagonal/>
    </border>
  </borders>
  <cellStyleXfs count="1">
    <xf numFmtId="0" fontId="0" fillId="0" borderId="0"/>
  </cellStyleXfs>
  <cellXfs count="156">
    <xf numFmtId="0" fontId="0" fillId="0" borderId="0" xfId="0"/>
    <xf numFmtId="0" fontId="0" fillId="0" borderId="0" xfId="0" applyAlignment="1">
      <alignment horizontal="center"/>
    </xf>
    <xf numFmtId="0" fontId="0" fillId="0" borderId="0" xfId="0" applyProtection="1"/>
    <xf numFmtId="166" fontId="0" fillId="0" borderId="0" xfId="0" applyNumberFormat="1" applyProtection="1"/>
    <xf numFmtId="0" fontId="0" fillId="0" borderId="0" xfId="0" applyAlignment="1" applyProtection="1">
      <alignment horizontal="center"/>
    </xf>
    <xf numFmtId="2" fontId="0" fillId="0" borderId="0" xfId="0" applyNumberFormat="1" applyProtection="1"/>
    <xf numFmtId="0" fontId="5" fillId="3" borderId="8" xfId="0" applyFont="1" applyFill="1" applyBorder="1" applyAlignment="1" applyProtection="1">
      <alignment vertical="center" wrapText="1"/>
    </xf>
    <xf numFmtId="0" fontId="5" fillId="9" borderId="8" xfId="0" applyFont="1" applyFill="1" applyBorder="1" applyAlignment="1" applyProtection="1">
      <alignment horizontal="center" vertical="center" wrapText="1"/>
      <protection locked="0"/>
    </xf>
    <xf numFmtId="0" fontId="0" fillId="0" borderId="18" xfId="0" applyBorder="1"/>
    <xf numFmtId="168" fontId="5" fillId="9" borderId="8" xfId="0" applyNumberFormat="1" applyFont="1" applyFill="1" applyBorder="1" applyAlignment="1" applyProtection="1">
      <alignment horizontal="center" vertical="center"/>
      <protection locked="0"/>
    </xf>
    <xf numFmtId="164" fontId="5" fillId="9" borderId="8" xfId="0" applyNumberFormat="1" applyFont="1" applyFill="1" applyBorder="1" applyAlignment="1" applyProtection="1">
      <alignment horizontal="center" vertical="center"/>
      <protection locked="0"/>
    </xf>
    <xf numFmtId="164" fontId="5" fillId="9" borderId="8" xfId="0" applyNumberFormat="1" applyFont="1" applyFill="1" applyBorder="1" applyAlignment="1" applyProtection="1">
      <alignment horizontal="center" vertical="center" wrapText="1"/>
      <protection locked="0"/>
    </xf>
    <xf numFmtId="0" fontId="5" fillId="3" borderId="8" xfId="0" applyFont="1" applyFill="1" applyBorder="1" applyAlignment="1" applyProtection="1">
      <alignment horizontal="left" vertical="center" wrapText="1"/>
    </xf>
    <xf numFmtId="0" fontId="5" fillId="9" borderId="8" xfId="0" applyFont="1" applyFill="1" applyBorder="1" applyAlignment="1" applyProtection="1">
      <alignment horizontal="center" vertical="center"/>
      <protection locked="0"/>
    </xf>
    <xf numFmtId="167" fontId="5" fillId="9" borderId="8" xfId="0" applyNumberFormat="1" applyFont="1" applyFill="1" applyBorder="1" applyAlignment="1" applyProtection="1">
      <alignment horizontal="center" vertical="center"/>
      <protection locked="0"/>
    </xf>
    <xf numFmtId="0" fontId="11" fillId="5" borderId="1" xfId="0" applyFont="1" applyFill="1" applyBorder="1" applyAlignment="1" applyProtection="1">
      <alignment horizontal="center" vertical="center"/>
    </xf>
    <xf numFmtId="164" fontId="11" fillId="5" borderId="1" xfId="0" applyNumberFormat="1" applyFont="1" applyFill="1" applyBorder="1" applyAlignment="1" applyProtection="1">
      <alignment horizontal="center" vertical="center"/>
    </xf>
    <xf numFmtId="0" fontId="11" fillId="12" borderId="1" xfId="0" applyFont="1" applyFill="1" applyBorder="1" applyAlignment="1" applyProtection="1">
      <alignment horizontal="center" vertical="center" wrapText="1"/>
    </xf>
    <xf numFmtId="0" fontId="11" fillId="8" borderId="1" xfId="0" applyFont="1" applyFill="1" applyBorder="1" applyAlignment="1" applyProtection="1">
      <alignment horizontal="center" vertical="center"/>
    </xf>
    <xf numFmtId="166" fontId="2" fillId="0" borderId="0" xfId="0" applyNumberFormat="1" applyFont="1" applyProtection="1"/>
    <xf numFmtId="0" fontId="11" fillId="13" borderId="0" xfId="0" applyFont="1" applyFill="1" applyAlignment="1" applyProtection="1">
      <alignment horizontal="center" vertical="center"/>
    </xf>
    <xf numFmtId="168" fontId="11" fillId="13" borderId="7" xfId="0" applyNumberFormat="1" applyFont="1" applyFill="1" applyBorder="1" applyProtection="1"/>
    <xf numFmtId="164" fontId="11" fillId="13" borderId="7" xfId="0" applyNumberFormat="1" applyFont="1" applyFill="1" applyBorder="1" applyProtection="1"/>
    <xf numFmtId="164" fontId="11" fillId="13" borderId="0" xfId="0" applyNumberFormat="1" applyFont="1" applyFill="1" applyProtection="1"/>
    <xf numFmtId="0" fontId="0" fillId="0" borderId="0" xfId="0" applyAlignment="1">
      <alignment wrapText="1"/>
    </xf>
    <xf numFmtId="0" fontId="6" fillId="0" borderId="0" xfId="0" applyFont="1"/>
    <xf numFmtId="164" fontId="11" fillId="13" borderId="7" xfId="0" applyNumberFormat="1" applyFont="1" applyFill="1" applyBorder="1" applyAlignment="1" applyProtection="1">
      <alignment vertical="center"/>
    </xf>
    <xf numFmtId="0" fontId="11" fillId="14" borderId="1" xfId="0" applyFont="1" applyFill="1" applyBorder="1" applyAlignment="1" applyProtection="1">
      <alignment horizontal="center" vertical="center"/>
    </xf>
    <xf numFmtId="2" fontId="11" fillId="14" borderId="1" xfId="0" applyNumberFormat="1" applyFont="1" applyFill="1" applyBorder="1" applyAlignment="1" applyProtection="1">
      <alignment horizontal="center" vertical="center"/>
    </xf>
    <xf numFmtId="0" fontId="11" fillId="15" borderId="1" xfId="0" applyFont="1" applyFill="1" applyBorder="1" applyAlignment="1" applyProtection="1">
      <alignment horizontal="center" vertical="center"/>
    </xf>
    <xf numFmtId="2" fontId="11" fillId="15" borderId="1" xfId="0" applyNumberFormat="1" applyFont="1" applyFill="1" applyBorder="1" applyAlignment="1" applyProtection="1">
      <alignment horizontal="center" vertical="center"/>
    </xf>
    <xf numFmtId="0" fontId="11" fillId="16" borderId="1" xfId="0" applyFont="1" applyFill="1" applyBorder="1" applyAlignment="1" applyProtection="1">
      <alignment vertical="center" wrapText="1"/>
    </xf>
    <xf numFmtId="164" fontId="11" fillId="16" borderId="1" xfId="0" applyNumberFormat="1" applyFont="1" applyFill="1" applyBorder="1" applyAlignment="1" applyProtection="1">
      <alignment horizontal="center" vertical="center"/>
    </xf>
    <xf numFmtId="164" fontId="11" fillId="15" borderId="1" xfId="0" applyNumberFormat="1" applyFont="1" applyFill="1" applyBorder="1" applyAlignment="1" applyProtection="1">
      <alignment horizontal="center" vertical="center"/>
    </xf>
    <xf numFmtId="0" fontId="11" fillId="17" borderId="1" xfId="0" applyFont="1" applyFill="1" applyBorder="1" applyAlignment="1" applyProtection="1">
      <alignment horizontal="center" vertical="center"/>
    </xf>
    <xf numFmtId="164" fontId="11" fillId="17" borderId="1" xfId="0" applyNumberFormat="1" applyFont="1" applyFill="1" applyBorder="1" applyAlignment="1" applyProtection="1">
      <alignment vertical="center"/>
    </xf>
    <xf numFmtId="164" fontId="11" fillId="17" borderId="1" xfId="0" applyNumberFormat="1" applyFont="1" applyFill="1" applyBorder="1" applyProtection="1"/>
    <xf numFmtId="164" fontId="11" fillId="18" borderId="1" xfId="0" applyNumberFormat="1" applyFont="1" applyFill="1" applyBorder="1" applyProtection="1"/>
    <xf numFmtId="0" fontId="11" fillId="19" borderId="1" xfId="0" applyFont="1" applyFill="1" applyBorder="1" applyAlignment="1" applyProtection="1">
      <alignment horizontal="center" vertical="center"/>
    </xf>
    <xf numFmtId="0" fontId="11" fillId="20" borderId="0" xfId="0" applyFont="1" applyFill="1" applyProtection="1"/>
    <xf numFmtId="164" fontId="11" fillId="20" borderId="0" xfId="0" applyNumberFormat="1" applyFont="1" applyFill="1" applyProtection="1"/>
    <xf numFmtId="0" fontId="11" fillId="20" borderId="3" xfId="0" applyFont="1" applyFill="1" applyBorder="1" applyAlignment="1" applyProtection="1">
      <alignment horizontal="center" vertical="center"/>
    </xf>
    <xf numFmtId="0" fontId="11" fillId="20" borderId="4" xfId="0" applyFont="1" applyFill="1" applyBorder="1" applyProtection="1"/>
    <xf numFmtId="164" fontId="11" fillId="20" borderId="4" xfId="0" applyNumberFormat="1" applyFont="1" applyFill="1" applyBorder="1" applyProtection="1"/>
    <xf numFmtId="3" fontId="11" fillId="3" borderId="2" xfId="0" applyNumberFormat="1" applyFont="1" applyFill="1" applyBorder="1" applyAlignment="1" applyProtection="1">
      <alignment horizontal="center" vertical="center"/>
    </xf>
    <xf numFmtId="164" fontId="11" fillId="3" borderId="2" xfId="0" applyNumberFormat="1" applyFont="1" applyFill="1" applyBorder="1" applyAlignment="1" applyProtection="1">
      <alignment horizontal="center" vertical="center"/>
    </xf>
    <xf numFmtId="164" fontId="11" fillId="13" borderId="7" xfId="0" applyNumberFormat="1" applyFont="1" applyFill="1" applyBorder="1" applyAlignment="1" applyProtection="1">
      <alignment horizontal="right" vertical="center"/>
    </xf>
    <xf numFmtId="164" fontId="11" fillId="13" borderId="0" xfId="0" applyNumberFormat="1" applyFont="1" applyFill="1" applyAlignment="1" applyProtection="1">
      <alignment horizontal="right" vertical="center"/>
    </xf>
    <xf numFmtId="0" fontId="11" fillId="13" borderId="6" xfId="0" applyFont="1" applyFill="1" applyBorder="1" applyAlignment="1" applyProtection="1">
      <alignment horizontal="right" vertical="center"/>
    </xf>
    <xf numFmtId="164" fontId="11" fillId="13" borderId="6" xfId="0" applyNumberFormat="1" applyFont="1" applyFill="1" applyBorder="1" applyAlignment="1" applyProtection="1">
      <alignment horizontal="right" vertical="center"/>
    </xf>
    <xf numFmtId="0" fontId="11" fillId="20" borderId="0" xfId="0" applyFont="1" applyFill="1" applyAlignment="1" applyProtection="1">
      <alignment horizontal="right" vertical="center"/>
    </xf>
    <xf numFmtId="164" fontId="11" fillId="20" borderId="0" xfId="0" applyNumberFormat="1" applyFont="1" applyFill="1" applyAlignment="1" applyProtection="1">
      <alignment horizontal="right" vertical="center"/>
    </xf>
    <xf numFmtId="3" fontId="11" fillId="13" borderId="7" xfId="0" applyNumberFormat="1" applyFont="1" applyFill="1" applyBorder="1" applyAlignment="1" applyProtection="1">
      <alignment horizontal="right" vertical="center"/>
    </xf>
    <xf numFmtId="167" fontId="11" fillId="13" borderId="6" xfId="0" applyNumberFormat="1" applyFont="1" applyFill="1" applyBorder="1" applyAlignment="1" applyProtection="1">
      <alignment horizontal="right" vertical="center"/>
    </xf>
    <xf numFmtId="0" fontId="11" fillId="2" borderId="1" xfId="0" applyFont="1" applyFill="1" applyBorder="1" applyAlignment="1" applyProtection="1">
      <alignment wrapText="1"/>
    </xf>
    <xf numFmtId="0" fontId="9" fillId="6" borderId="1" xfId="0" applyFont="1" applyFill="1" applyBorder="1" applyAlignment="1" applyProtection="1">
      <alignment horizontal="center" vertical="center"/>
    </xf>
    <xf numFmtId="0" fontId="9" fillId="5" borderId="1" xfId="0" applyFont="1" applyFill="1" applyBorder="1" applyAlignment="1" applyProtection="1">
      <alignment horizontal="center" vertical="center"/>
    </xf>
    <xf numFmtId="164" fontId="9" fillId="5" borderId="1" xfId="0" applyNumberFormat="1" applyFont="1" applyFill="1" applyBorder="1" applyAlignment="1" applyProtection="1">
      <alignment horizontal="center" vertical="center"/>
    </xf>
    <xf numFmtId="164" fontId="9" fillId="6" borderId="1" xfId="0" applyNumberFormat="1" applyFont="1" applyFill="1" applyBorder="1" applyAlignment="1" applyProtection="1">
      <alignment horizontal="center" vertical="center"/>
    </xf>
    <xf numFmtId="0" fontId="9" fillId="12" borderId="1" xfId="0" applyFont="1" applyFill="1" applyBorder="1" applyAlignment="1" applyProtection="1">
      <alignment horizontal="center" vertical="center" wrapText="1"/>
    </xf>
    <xf numFmtId="0" fontId="9" fillId="8" borderId="1" xfId="0" applyFont="1" applyFill="1" applyBorder="1" applyAlignment="1" applyProtection="1">
      <alignment horizontal="center" vertical="center" wrapText="1"/>
    </xf>
    <xf numFmtId="2" fontId="9" fillId="6" borderId="1" xfId="0" applyNumberFormat="1" applyFont="1" applyFill="1" applyBorder="1" applyAlignment="1" applyProtection="1">
      <alignment horizontal="center" vertical="center"/>
    </xf>
    <xf numFmtId="167" fontId="5" fillId="12" borderId="1" xfId="0" applyNumberFormat="1" applyFont="1" applyFill="1" applyBorder="1" applyAlignment="1" applyProtection="1">
      <alignment horizontal="center" vertical="center"/>
    </xf>
    <xf numFmtId="167" fontId="16" fillId="0" borderId="1" xfId="0" applyNumberFormat="1" applyFont="1" applyFill="1" applyBorder="1" applyAlignment="1" applyProtection="1">
      <alignment horizontal="center" vertical="center"/>
    </xf>
    <xf numFmtId="0" fontId="9" fillId="8" borderId="1" xfId="0" applyFont="1" applyFill="1" applyBorder="1" applyAlignment="1" applyProtection="1">
      <alignment horizontal="center" vertical="center"/>
    </xf>
    <xf numFmtId="0" fontId="11" fillId="8" borderId="1" xfId="0" applyFont="1" applyFill="1" applyBorder="1" applyAlignment="1" applyProtection="1">
      <alignment horizontal="center" vertical="center" wrapText="1"/>
    </xf>
    <xf numFmtId="2" fontId="9" fillId="15" borderId="1" xfId="0" applyNumberFormat="1" applyFont="1" applyFill="1" applyBorder="1" applyAlignment="1" applyProtection="1">
      <alignment horizontal="center" vertical="center"/>
    </xf>
    <xf numFmtId="164" fontId="9" fillId="17" borderId="1" xfId="0" applyNumberFormat="1" applyFont="1" applyFill="1" applyBorder="1" applyAlignment="1" applyProtection="1">
      <alignment horizontal="center" vertical="center"/>
    </xf>
    <xf numFmtId="3" fontId="11" fillId="17" borderId="1" xfId="0" applyNumberFormat="1" applyFont="1" applyFill="1" applyBorder="1" applyAlignment="1" applyProtection="1">
      <alignment vertical="center"/>
    </xf>
    <xf numFmtId="164" fontId="11" fillId="19" borderId="2" xfId="0" applyNumberFormat="1" applyFont="1" applyFill="1" applyBorder="1" applyAlignment="1" applyProtection="1">
      <alignment horizontal="center" vertical="center"/>
    </xf>
    <xf numFmtId="3" fontId="11" fillId="17" borderId="1" xfId="0" applyNumberFormat="1" applyFont="1" applyFill="1" applyBorder="1" applyProtection="1"/>
    <xf numFmtId="0" fontId="11" fillId="18" borderId="1" xfId="0" applyFont="1" applyFill="1" applyBorder="1" applyAlignment="1" applyProtection="1">
      <alignment horizontal="center" vertical="center" wrapText="1"/>
    </xf>
    <xf numFmtId="164" fontId="11" fillId="7" borderId="1" xfId="0" applyNumberFormat="1" applyFont="1" applyFill="1" applyBorder="1" applyAlignment="1" applyProtection="1">
      <alignment horizontal="center" vertical="center" wrapText="1"/>
    </xf>
    <xf numFmtId="164" fontId="11" fillId="17" borderId="1" xfId="0" applyNumberFormat="1" applyFont="1" applyFill="1" applyBorder="1" applyAlignment="1" applyProtection="1">
      <alignment horizontal="center" vertical="center" wrapText="1"/>
    </xf>
    <xf numFmtId="164" fontId="13" fillId="19" borderId="1" xfId="0" applyNumberFormat="1" applyFont="1" applyFill="1" applyBorder="1" applyAlignment="1" applyProtection="1">
      <alignment vertical="center"/>
    </xf>
    <xf numFmtId="164" fontId="11" fillId="19" borderId="1" xfId="0" applyNumberFormat="1" applyFont="1" applyFill="1" applyBorder="1" applyAlignment="1" applyProtection="1">
      <alignment horizontal="center" vertical="center" wrapText="1"/>
    </xf>
    <xf numFmtId="164" fontId="13" fillId="19" borderId="1" xfId="0" applyNumberFormat="1" applyFont="1" applyFill="1" applyBorder="1" applyProtection="1"/>
    <xf numFmtId="164" fontId="11" fillId="18" borderId="1" xfId="0" applyNumberFormat="1" applyFont="1" applyFill="1" applyBorder="1" applyAlignment="1" applyProtection="1">
      <alignment horizontal="center" vertical="center"/>
    </xf>
    <xf numFmtId="165" fontId="0" fillId="0" borderId="0" xfId="0" applyNumberFormat="1"/>
    <xf numFmtId="169" fontId="0" fillId="0" borderId="0" xfId="0" applyNumberFormat="1"/>
    <xf numFmtId="167" fontId="15" fillId="12" borderId="1" xfId="0" applyNumberFormat="1" applyFont="1" applyFill="1" applyBorder="1" applyAlignment="1" applyProtection="1">
      <alignment horizontal="center" vertical="center"/>
    </xf>
    <xf numFmtId="167" fontId="14" fillId="15" borderId="2" xfId="0" applyNumberFormat="1" applyFont="1" applyFill="1" applyBorder="1" applyAlignment="1" applyProtection="1">
      <alignment horizontal="center" vertical="center"/>
    </xf>
    <xf numFmtId="3" fontId="9" fillId="17" borderId="1" xfId="0" applyNumberFormat="1" applyFont="1" applyFill="1" applyBorder="1" applyAlignment="1" applyProtection="1">
      <alignment horizontal="center" vertical="center"/>
    </xf>
    <xf numFmtId="164" fontId="11" fillId="20" borderId="20" xfId="0" applyNumberFormat="1" applyFont="1" applyFill="1" applyBorder="1" applyProtection="1"/>
    <xf numFmtId="164" fontId="11" fillId="20" borderId="19" xfId="0" applyNumberFormat="1" applyFont="1" applyFill="1" applyBorder="1" applyProtection="1"/>
    <xf numFmtId="164" fontId="11" fillId="3" borderId="3" xfId="0" applyNumberFormat="1" applyFont="1" applyFill="1" applyBorder="1" applyAlignment="1" applyProtection="1">
      <alignment horizontal="center" vertical="center"/>
    </xf>
    <xf numFmtId="164" fontId="11" fillId="20" borderId="16" xfId="0" applyNumberFormat="1" applyFont="1" applyFill="1" applyBorder="1" applyAlignment="1" applyProtection="1">
      <alignment horizontal="center" vertical="center" wrapText="1"/>
    </xf>
    <xf numFmtId="0" fontId="11" fillId="20" borderId="10" xfId="0" applyFont="1" applyFill="1" applyBorder="1" applyAlignment="1" applyProtection="1">
      <alignment wrapText="1"/>
    </xf>
    <xf numFmtId="0" fontId="11" fillId="20" borderId="11" xfId="0" applyFont="1" applyFill="1" applyBorder="1" applyAlignment="1" applyProtection="1">
      <alignment wrapText="1"/>
    </xf>
    <xf numFmtId="0" fontId="11" fillId="20" borderId="13" xfId="0" applyFont="1" applyFill="1" applyBorder="1" applyAlignment="1" applyProtection="1">
      <alignment wrapText="1"/>
    </xf>
    <xf numFmtId="0" fontId="11" fillId="20" borderId="7" xfId="0" applyFont="1" applyFill="1" applyBorder="1" applyAlignment="1" applyProtection="1">
      <alignment horizontal="right" vertical="center" wrapText="1"/>
    </xf>
    <xf numFmtId="49" fontId="7" fillId="11" borderId="0" xfId="0" applyNumberFormat="1" applyFont="1" applyFill="1" applyAlignment="1" applyProtection="1">
      <alignment horizontal="center" wrapText="1"/>
    </xf>
    <xf numFmtId="0" fontId="6" fillId="0" borderId="0" xfId="0" applyFont="1" applyAlignment="1" applyProtection="1">
      <alignment wrapText="1"/>
    </xf>
    <xf numFmtId="0" fontId="17" fillId="0" borderId="0" xfId="0" applyFont="1" applyAlignment="1" applyProtection="1">
      <alignment wrapText="1"/>
    </xf>
    <xf numFmtId="0" fontId="17" fillId="0" borderId="0" xfId="0" applyFont="1" applyAlignment="1" applyProtection="1">
      <alignment vertical="center" wrapText="1"/>
    </xf>
    <xf numFmtId="0" fontId="17" fillId="0" borderId="0" xfId="0" applyFont="1" applyAlignment="1">
      <alignment wrapText="1"/>
    </xf>
    <xf numFmtId="0" fontId="11" fillId="15" borderId="1" xfId="0" applyFont="1" applyFill="1" applyBorder="1" applyAlignment="1" applyProtection="1">
      <alignment horizontal="center" vertical="center" wrapText="1"/>
    </xf>
    <xf numFmtId="0" fontId="11" fillId="19" borderId="2" xfId="0" applyFont="1" applyFill="1" applyBorder="1" applyAlignment="1" applyProtection="1">
      <alignment horizontal="center" vertical="center"/>
    </xf>
    <xf numFmtId="0" fontId="11" fillId="19" borderId="1" xfId="0" applyFont="1" applyFill="1" applyBorder="1" applyAlignment="1" applyProtection="1">
      <alignment horizontal="center" vertical="center" wrapText="1"/>
    </xf>
    <xf numFmtId="0" fontId="11" fillId="3" borderId="1" xfId="0" applyFont="1" applyFill="1" applyBorder="1" applyAlignment="1" applyProtection="1">
      <alignment wrapText="1"/>
    </xf>
    <xf numFmtId="0" fontId="9" fillId="8" borderId="1" xfId="0" applyFont="1" applyFill="1" applyBorder="1" applyAlignment="1" applyProtection="1">
      <alignment horizontal="center" vertical="center" wrapText="1"/>
    </xf>
    <xf numFmtId="0" fontId="10" fillId="8" borderId="1" xfId="0" applyFont="1" applyFill="1" applyBorder="1" applyAlignment="1" applyProtection="1">
      <alignment horizontal="center" vertical="center" wrapText="1"/>
    </xf>
    <xf numFmtId="2" fontId="9" fillId="8" borderId="1" xfId="0" applyNumberFormat="1" applyFont="1" applyFill="1" applyBorder="1" applyAlignment="1" applyProtection="1">
      <alignment horizontal="center" vertical="center" wrapText="1"/>
    </xf>
    <xf numFmtId="2" fontId="10" fillId="8" borderId="1" xfId="0" applyNumberFormat="1" applyFont="1" applyFill="1" applyBorder="1" applyAlignment="1" applyProtection="1">
      <alignment horizontal="center" vertical="center" wrapText="1"/>
    </xf>
    <xf numFmtId="0" fontId="9" fillId="17" borderId="1" xfId="0" applyFont="1" applyFill="1" applyBorder="1" applyAlignment="1" applyProtection="1">
      <alignment horizontal="center" vertical="center" wrapText="1"/>
    </xf>
    <xf numFmtId="0" fontId="9" fillId="17" borderId="1" xfId="0" applyFont="1" applyFill="1" applyBorder="1" applyAlignment="1" applyProtection="1">
      <alignment vertical="center" wrapText="1"/>
    </xf>
    <xf numFmtId="0" fontId="7" fillId="11" borderId="12" xfId="0" applyFont="1" applyFill="1" applyBorder="1" applyAlignment="1">
      <alignment horizontal="center" wrapText="1"/>
    </xf>
    <xf numFmtId="0" fontId="8" fillId="11" borderId="0" xfId="0" applyFont="1" applyFill="1" applyAlignment="1">
      <alignment horizontal="center" wrapText="1"/>
    </xf>
    <xf numFmtId="0" fontId="4" fillId="4" borderId="8" xfId="0" applyFont="1" applyFill="1" applyBorder="1" applyAlignment="1">
      <alignment vertical="center" wrapText="1"/>
    </xf>
    <xf numFmtId="0" fontId="9" fillId="5" borderId="1" xfId="0" applyFont="1" applyFill="1" applyBorder="1" applyAlignment="1" applyProtection="1">
      <alignment horizontal="center" vertical="center" wrapText="1"/>
    </xf>
    <xf numFmtId="0" fontId="10" fillId="5" borderId="1" xfId="0" applyFont="1" applyFill="1" applyBorder="1" applyAlignment="1" applyProtection="1">
      <alignment horizontal="center" vertical="center" wrapText="1"/>
    </xf>
    <xf numFmtId="0" fontId="7" fillId="11" borderId="9" xfId="0" applyFont="1" applyFill="1" applyBorder="1" applyAlignment="1">
      <alignment horizontal="center" wrapText="1"/>
    </xf>
    <xf numFmtId="0" fontId="0" fillId="11" borderId="9" xfId="0" applyFill="1" applyBorder="1" applyAlignment="1">
      <alignment horizontal="center" wrapText="1"/>
    </xf>
    <xf numFmtId="0" fontId="11" fillId="3" borderId="1" xfId="0" applyFont="1" applyFill="1" applyBorder="1" applyAlignment="1" applyProtection="1">
      <alignment wrapText="1"/>
    </xf>
    <xf numFmtId="170" fontId="11" fillId="13" borderId="6" xfId="0" applyNumberFormat="1" applyFont="1" applyFill="1" applyBorder="1" applyAlignment="1" applyProtection="1">
      <alignment horizontal="right" vertical="center"/>
    </xf>
    <xf numFmtId="0" fontId="11" fillId="19" borderId="14" xfId="0" applyFont="1" applyFill="1" applyBorder="1" applyAlignment="1" applyProtection="1">
      <alignment horizontal="center" vertical="center"/>
    </xf>
    <xf numFmtId="0" fontId="11" fillId="19" borderId="15" xfId="0" applyFont="1" applyFill="1" applyBorder="1" applyAlignment="1" applyProtection="1">
      <alignment horizontal="center" vertical="center"/>
    </xf>
    <xf numFmtId="0" fontId="11" fillId="19" borderId="9" xfId="0" applyFont="1" applyFill="1" applyBorder="1" applyAlignment="1" applyProtection="1">
      <alignment horizontal="center" vertical="center"/>
    </xf>
    <xf numFmtId="0" fontId="11" fillId="19" borderId="16" xfId="0" applyFont="1" applyFill="1" applyBorder="1" applyAlignment="1" applyProtection="1">
      <alignment horizontal="center" vertical="center"/>
    </xf>
    <xf numFmtId="164" fontId="11" fillId="20" borderId="4" xfId="0" applyNumberFormat="1" applyFont="1" applyFill="1" applyBorder="1" applyAlignment="1" applyProtection="1">
      <alignment horizontal="center" vertical="center"/>
    </xf>
    <xf numFmtId="0" fontId="11" fillId="5" borderId="5" xfId="0" applyFont="1" applyFill="1" applyBorder="1" applyAlignment="1" applyProtection="1">
      <alignment horizontal="center" vertical="center"/>
    </xf>
    <xf numFmtId="0" fontId="12" fillId="5" borderId="5" xfId="0" applyFont="1" applyFill="1" applyBorder="1" applyAlignment="1" applyProtection="1">
      <alignment horizontal="center" vertical="center"/>
    </xf>
    <xf numFmtId="0" fontId="11" fillId="15" borderId="5" xfId="0" applyFont="1" applyFill="1" applyBorder="1" applyAlignment="1" applyProtection="1">
      <alignment horizontal="center" vertical="center"/>
    </xf>
    <xf numFmtId="0" fontId="11" fillId="19" borderId="3" xfId="0" applyFont="1" applyFill="1" applyBorder="1" applyAlignment="1" applyProtection="1">
      <alignment horizontal="center" vertical="center" wrapText="1"/>
    </xf>
    <xf numFmtId="0" fontId="12" fillId="19" borderId="5" xfId="0" applyFont="1" applyFill="1" applyBorder="1" applyAlignment="1" applyProtection="1">
      <alignment horizontal="center" vertical="center" wrapText="1"/>
    </xf>
    <xf numFmtId="2" fontId="11" fillId="10" borderId="13" xfId="0" applyNumberFormat="1" applyFont="1" applyFill="1" applyBorder="1" applyAlignment="1" applyProtection="1">
      <alignment horizontal="center" vertical="center" wrapText="1"/>
    </xf>
    <xf numFmtId="2" fontId="11" fillId="10" borderId="2" xfId="0" applyNumberFormat="1" applyFont="1" applyFill="1" applyBorder="1" applyAlignment="1" applyProtection="1">
      <alignment horizontal="center" vertical="center" wrapText="1"/>
    </xf>
    <xf numFmtId="2" fontId="11" fillId="18" borderId="1" xfId="0" applyNumberFormat="1" applyFont="1" applyFill="1" applyBorder="1" applyAlignment="1" applyProtection="1">
      <alignment horizontal="center" vertical="center" wrapText="1"/>
    </xf>
    <xf numFmtId="2" fontId="12" fillId="18" borderId="1" xfId="0" applyNumberFormat="1" applyFont="1" applyFill="1" applyBorder="1" applyAlignment="1" applyProtection="1">
      <alignment horizontal="center" vertical="center" wrapText="1"/>
    </xf>
    <xf numFmtId="0" fontId="11" fillId="15" borderId="1" xfId="0" applyFont="1" applyFill="1" applyBorder="1" applyAlignment="1" applyProtection="1">
      <alignment horizontal="center" vertical="center" wrapText="1"/>
    </xf>
    <xf numFmtId="0" fontId="12" fillId="15" borderId="1" xfId="0" applyFont="1" applyFill="1" applyBorder="1" applyAlignment="1" applyProtection="1">
      <alignment horizontal="center" vertical="center" wrapText="1"/>
    </xf>
    <xf numFmtId="0" fontId="11" fillId="19" borderId="13" xfId="0" applyFont="1" applyFill="1" applyBorder="1" applyAlignment="1" applyProtection="1">
      <alignment horizontal="center" vertical="center"/>
    </xf>
    <xf numFmtId="0" fontId="11" fillId="19" borderId="17" xfId="0" applyFont="1" applyFill="1" applyBorder="1" applyAlignment="1" applyProtection="1">
      <alignment horizontal="center" vertical="center"/>
    </xf>
    <xf numFmtId="0" fontId="11" fillId="19" borderId="2" xfId="0" applyFont="1" applyFill="1" applyBorder="1" applyAlignment="1" applyProtection="1">
      <alignment horizontal="center" vertical="center"/>
    </xf>
    <xf numFmtId="0" fontId="11" fillId="4" borderId="13" xfId="0" applyFont="1" applyFill="1" applyBorder="1" applyAlignment="1" applyProtection="1">
      <alignment horizontal="center" vertical="center"/>
    </xf>
    <xf numFmtId="0" fontId="11" fillId="4" borderId="17" xfId="0" applyFont="1" applyFill="1" applyBorder="1" applyAlignment="1" applyProtection="1">
      <alignment horizontal="center" vertical="center"/>
    </xf>
    <xf numFmtId="0" fontId="11" fillId="4" borderId="2" xfId="0" applyFont="1" applyFill="1" applyBorder="1" applyAlignment="1" applyProtection="1">
      <alignment horizontal="center" vertical="center"/>
    </xf>
    <xf numFmtId="164" fontId="11" fillId="4" borderId="10" xfId="0" applyNumberFormat="1" applyFont="1" applyFill="1" applyBorder="1" applyAlignment="1" applyProtection="1">
      <alignment horizontal="center" vertical="center" wrapText="1"/>
    </xf>
    <xf numFmtId="0" fontId="12" fillId="0" borderId="14" xfId="0" applyFont="1" applyBorder="1" applyAlignment="1" applyProtection="1">
      <alignment horizontal="center" vertical="center" wrapText="1"/>
    </xf>
    <xf numFmtId="0" fontId="12" fillId="0" borderId="15" xfId="0" applyFont="1" applyBorder="1" applyAlignment="1" applyProtection="1">
      <alignment horizontal="center" vertical="center" wrapText="1"/>
    </xf>
    <xf numFmtId="0" fontId="12" fillId="0" borderId="11" xfId="0" applyFont="1" applyBorder="1" applyAlignment="1" applyProtection="1">
      <alignment horizontal="center" vertical="center" wrapText="1"/>
    </xf>
    <xf numFmtId="0" fontId="12" fillId="0" borderId="9" xfId="0" applyFont="1" applyBorder="1" applyAlignment="1" applyProtection="1">
      <alignment horizontal="center" vertical="center" wrapText="1"/>
    </xf>
    <xf numFmtId="0" fontId="12" fillId="0" borderId="16" xfId="0" applyFont="1" applyBorder="1" applyAlignment="1" applyProtection="1">
      <alignment horizontal="center" vertical="center" wrapText="1"/>
    </xf>
    <xf numFmtId="49" fontId="3" fillId="11" borderId="13" xfId="0" applyNumberFormat="1" applyFont="1" applyFill="1" applyBorder="1" applyAlignment="1" applyProtection="1">
      <alignment horizontal="center" vertical="center" wrapText="1"/>
    </xf>
    <xf numFmtId="49" fontId="3" fillId="11" borderId="17" xfId="0" applyNumberFormat="1" applyFont="1" applyFill="1" applyBorder="1" applyAlignment="1" applyProtection="1">
      <alignment horizontal="center" vertical="center" wrapText="1"/>
    </xf>
    <xf numFmtId="49" fontId="3" fillId="11" borderId="2" xfId="0" applyNumberFormat="1" applyFont="1" applyFill="1" applyBorder="1" applyAlignment="1" applyProtection="1">
      <alignment horizontal="center" vertical="center" wrapText="1"/>
    </xf>
    <xf numFmtId="0" fontId="11" fillId="19" borderId="5" xfId="0" applyFont="1" applyFill="1" applyBorder="1" applyAlignment="1" applyProtection="1">
      <alignment horizontal="center" vertical="center" wrapText="1"/>
    </xf>
    <xf numFmtId="0" fontId="11" fillId="19" borderId="1" xfId="0" applyFont="1" applyFill="1" applyBorder="1" applyAlignment="1" applyProtection="1">
      <alignment horizontal="center" vertical="center" wrapText="1"/>
    </xf>
    <xf numFmtId="0" fontId="11" fillId="5" borderId="5" xfId="0" applyFont="1" applyFill="1" applyBorder="1" applyAlignment="1" applyProtection="1">
      <alignment horizontal="center" vertical="center" wrapText="1"/>
    </xf>
    <xf numFmtId="0" fontId="12" fillId="5" borderId="1" xfId="0" applyFont="1" applyFill="1" applyBorder="1" applyAlignment="1" applyProtection="1">
      <alignment horizontal="center" vertical="center" wrapText="1"/>
    </xf>
    <xf numFmtId="0" fontId="11" fillId="15" borderId="5" xfId="0" applyFont="1" applyFill="1" applyBorder="1" applyAlignment="1" applyProtection="1">
      <alignment horizontal="center" vertical="center" wrapText="1"/>
    </xf>
    <xf numFmtId="0" fontId="2" fillId="0" borderId="0" xfId="0" applyFont="1"/>
    <xf numFmtId="0" fontId="2" fillId="0" borderId="0" xfId="0" applyFont="1" applyAlignment="1">
      <alignment wrapText="1"/>
    </xf>
    <xf numFmtId="0" fontId="17" fillId="0" borderId="0" xfId="0" applyFont="1" applyAlignment="1">
      <alignment wrapText="1"/>
    </xf>
    <xf numFmtId="0" fontId="9" fillId="0" borderId="14" xfId="0" applyFont="1" applyBorder="1" applyAlignment="1">
      <alignment wrapText="1"/>
    </xf>
    <xf numFmtId="0" fontId="9" fillId="0" borderId="0" xfId="0" applyFont="1" applyAlignment="1">
      <alignment wrapText="1"/>
    </xf>
  </cellXfs>
  <cellStyles count="1">
    <cellStyle name="Normal" xfId="0" builtinId="0"/>
  </cellStyles>
  <dxfs count="0"/>
  <tableStyles count="0" defaultTableStyle="TableStyleMedium2" defaultPivotStyle="PivotStyleLight16"/>
  <colors>
    <mruColors>
      <color rgb="FFC0C0C0"/>
      <color rgb="FFFF6600"/>
      <color rgb="FFFFFF99"/>
      <color rgb="FFCCFFFF"/>
      <color rgb="FFFF99CC"/>
      <color rgb="FFFFCC99"/>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0"/>
  <sheetViews>
    <sheetView tabSelected="1" workbookViewId="0"/>
  </sheetViews>
  <sheetFormatPr defaultRowHeight="12.75" x14ac:dyDescent="0.2"/>
  <cols>
    <col min="1" max="1" width="118.28515625" style="24" customWidth="1"/>
  </cols>
  <sheetData>
    <row r="1" spans="1:4" ht="36" customHeight="1" x14ac:dyDescent="0.4">
      <c r="A1" s="91" t="s">
        <v>58</v>
      </c>
    </row>
    <row r="2" spans="1:4" ht="15" x14ac:dyDescent="0.2">
      <c r="A2" s="92"/>
    </row>
    <row r="3" spans="1:4" ht="108" x14ac:dyDescent="0.25">
      <c r="A3" s="93" t="s">
        <v>60</v>
      </c>
    </row>
    <row r="4" spans="1:4" ht="18" x14ac:dyDescent="0.25">
      <c r="A4" s="93"/>
    </row>
    <row r="5" spans="1:4" ht="108" x14ac:dyDescent="0.2">
      <c r="A5" s="94" t="s">
        <v>61</v>
      </c>
    </row>
    <row r="6" spans="1:4" ht="18" x14ac:dyDescent="0.25">
      <c r="A6" s="93"/>
      <c r="D6" s="25"/>
    </row>
    <row r="7" spans="1:4" ht="36" x14ac:dyDescent="0.2">
      <c r="A7" s="94" t="s">
        <v>62</v>
      </c>
    </row>
    <row r="8" spans="1:4" ht="18" x14ac:dyDescent="0.25">
      <c r="A8" s="93"/>
    </row>
    <row r="9" spans="1:4" ht="126" x14ac:dyDescent="0.2">
      <c r="A9" s="94" t="s">
        <v>63</v>
      </c>
    </row>
    <row r="10" spans="1:4" ht="18" x14ac:dyDescent="0.25">
      <c r="A10" s="93"/>
    </row>
    <row r="11" spans="1:4" ht="72" x14ac:dyDescent="0.2">
      <c r="A11" s="94" t="s">
        <v>64</v>
      </c>
    </row>
    <row r="12" spans="1:4" ht="18" x14ac:dyDescent="0.25">
      <c r="A12" s="93"/>
    </row>
    <row r="13" spans="1:4" ht="126" x14ac:dyDescent="0.25">
      <c r="A13" s="93" t="s">
        <v>92</v>
      </c>
    </row>
    <row r="14" spans="1:4" ht="18" x14ac:dyDescent="0.25">
      <c r="A14" s="93"/>
    </row>
    <row r="15" spans="1:4" ht="36" x14ac:dyDescent="0.25">
      <c r="A15" s="93" t="s">
        <v>87</v>
      </c>
    </row>
    <row r="16" spans="1:4" ht="18" x14ac:dyDescent="0.25">
      <c r="A16" s="93"/>
    </row>
    <row r="17" spans="1:1" ht="144" x14ac:dyDescent="0.2">
      <c r="A17" s="94" t="s">
        <v>85</v>
      </c>
    </row>
    <row r="18" spans="1:1" ht="18" x14ac:dyDescent="0.25">
      <c r="A18" s="93"/>
    </row>
    <row r="19" spans="1:1" ht="144" x14ac:dyDescent="0.2">
      <c r="A19" s="94" t="s">
        <v>86</v>
      </c>
    </row>
    <row r="20" spans="1:1" ht="18" x14ac:dyDescent="0.2">
      <c r="A20" s="94"/>
    </row>
    <row r="21" spans="1:1" ht="36" x14ac:dyDescent="0.2">
      <c r="A21" s="94" t="s">
        <v>91</v>
      </c>
    </row>
    <row r="22" spans="1:1" ht="18" x14ac:dyDescent="0.25">
      <c r="A22" s="93"/>
    </row>
    <row r="23" spans="1:1" ht="72" x14ac:dyDescent="0.2">
      <c r="A23" s="94" t="s">
        <v>65</v>
      </c>
    </row>
    <row r="24" spans="1:1" ht="18" x14ac:dyDescent="0.25">
      <c r="A24" s="93"/>
    </row>
    <row r="25" spans="1:1" ht="90" x14ac:dyDescent="0.2">
      <c r="A25" s="94" t="s">
        <v>66</v>
      </c>
    </row>
    <row r="26" spans="1:1" ht="18" x14ac:dyDescent="0.25">
      <c r="A26" s="93"/>
    </row>
    <row r="27" spans="1:1" ht="72" x14ac:dyDescent="0.2">
      <c r="A27" s="94" t="s">
        <v>67</v>
      </c>
    </row>
    <row r="28" spans="1:1" ht="18" x14ac:dyDescent="0.25">
      <c r="A28" s="93"/>
    </row>
    <row r="29" spans="1:1" ht="90" x14ac:dyDescent="0.2">
      <c r="A29" s="94" t="s">
        <v>68</v>
      </c>
    </row>
    <row r="30" spans="1:1" ht="18" x14ac:dyDescent="0.25">
      <c r="A30" s="93"/>
    </row>
    <row r="31" spans="1:1" ht="90" x14ac:dyDescent="0.2">
      <c r="A31" s="94" t="s">
        <v>69</v>
      </c>
    </row>
    <row r="32" spans="1:1" ht="18" x14ac:dyDescent="0.25">
      <c r="A32" s="93"/>
    </row>
    <row r="33" spans="1:1" ht="54" x14ac:dyDescent="0.2">
      <c r="A33" s="94" t="s">
        <v>70</v>
      </c>
    </row>
    <row r="34" spans="1:1" ht="18" x14ac:dyDescent="0.25">
      <c r="A34" s="93"/>
    </row>
    <row r="35" spans="1:1" ht="36" x14ac:dyDescent="0.2">
      <c r="A35" s="94" t="s">
        <v>71</v>
      </c>
    </row>
    <row r="36" spans="1:1" ht="18" x14ac:dyDescent="0.2">
      <c r="A36" s="94"/>
    </row>
    <row r="37" spans="1:1" ht="36" x14ac:dyDescent="0.2">
      <c r="A37" s="94" t="s">
        <v>72</v>
      </c>
    </row>
    <row r="38" spans="1:1" ht="18" x14ac:dyDescent="0.25">
      <c r="A38" s="93"/>
    </row>
    <row r="39" spans="1:1" ht="108" x14ac:dyDescent="0.2">
      <c r="A39" s="94" t="s">
        <v>84</v>
      </c>
    </row>
    <row r="40" spans="1:1" ht="18" x14ac:dyDescent="0.25">
      <c r="A40" s="95"/>
    </row>
  </sheetData>
  <sheetProtection password="FD11" sheet="1" objects="1" scenarios="1" selectLockedCells="1"/>
  <phoneticPr fontId="1" type="noConversion"/>
  <pageMargins left="0.5" right="0.5" top="0.5" bottom="0.25" header="0" footer="0.5"/>
  <pageSetup orientation="portrait" r:id="rId1"/>
  <headerFooter alignWithMargins="0">
    <oddFooter>&amp;L
P O Box 1366
Mansfield, Ohio 44901
gzeigler@spgsamerica.com&amp;CPage &amp;P of &amp;N&amp;R&amp;G</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2"/>
  <sheetViews>
    <sheetView topLeftCell="A7" zoomScaleNormal="100" workbookViewId="0">
      <selection activeCell="B7" sqref="B7"/>
    </sheetView>
  </sheetViews>
  <sheetFormatPr defaultRowHeight="12.75" x14ac:dyDescent="0.2"/>
  <cols>
    <col min="1" max="1" width="57.85546875" customWidth="1"/>
    <col min="2" max="2" width="19" customWidth="1"/>
    <col min="3" max="3" width="0.28515625" style="1" customWidth="1"/>
    <col min="4" max="4" width="13.42578125" customWidth="1"/>
    <col min="5" max="5" width="13" customWidth="1"/>
    <col min="6" max="6" width="13.85546875" customWidth="1"/>
    <col min="7" max="7" width="14.5703125" customWidth="1"/>
  </cols>
  <sheetData>
    <row r="1" spans="1:11" ht="37.35" customHeight="1" thickBot="1" x14ac:dyDescent="0.45">
      <c r="A1" s="106" t="s">
        <v>52</v>
      </c>
      <c r="B1" s="107"/>
      <c r="D1" s="111" t="s">
        <v>55</v>
      </c>
      <c r="E1" s="112"/>
      <c r="F1" s="112"/>
      <c r="G1" s="112"/>
    </row>
    <row r="2" spans="1:11" ht="33" customHeight="1" thickBot="1" x14ac:dyDescent="0.25">
      <c r="A2" s="108" t="s">
        <v>88</v>
      </c>
      <c r="B2" s="108"/>
      <c r="D2" s="100" t="s">
        <v>56</v>
      </c>
      <c r="E2" s="100"/>
      <c r="F2" s="109" t="s">
        <v>53</v>
      </c>
      <c r="G2" s="100" t="s">
        <v>54</v>
      </c>
    </row>
    <row r="3" spans="1:11" ht="15.75" thickBot="1" x14ac:dyDescent="0.25">
      <c r="A3" s="108"/>
      <c r="B3" s="108"/>
      <c r="D3" s="55" t="s">
        <v>5</v>
      </c>
      <c r="E3" s="66">
        <f>'Downtime Calculator'!G3</f>
        <v>2308.7999999999884</v>
      </c>
      <c r="F3" s="110"/>
      <c r="G3" s="100"/>
    </row>
    <row r="4" spans="1:11" ht="30.75" customHeight="1" thickBot="1" x14ac:dyDescent="0.25">
      <c r="A4" s="108"/>
      <c r="B4" s="108"/>
      <c r="D4" s="55" t="s">
        <v>4</v>
      </c>
      <c r="E4" s="66">
        <f>E3/60</f>
        <v>38.479999999999805</v>
      </c>
      <c r="F4" s="56">
        <f>'Downtime Calculator'!H4</f>
        <v>2016</v>
      </c>
      <c r="G4" s="55">
        <f>'Downtime Calculator'!I4</f>
        <v>2016</v>
      </c>
    </row>
    <row r="5" spans="1:11" ht="29.25" customHeight="1" thickBot="1" x14ac:dyDescent="0.25">
      <c r="A5" s="108"/>
      <c r="B5" s="108"/>
      <c r="D5" s="55" t="s">
        <v>3</v>
      </c>
      <c r="E5" s="66">
        <f>E4/24</f>
        <v>1.6033333333333253</v>
      </c>
      <c r="F5" s="57">
        <f>'Downtime Calculator'!H5</f>
        <v>4050000</v>
      </c>
      <c r="G5" s="58">
        <f>'Downtime Calculator'!I5</f>
        <v>-52077.5</v>
      </c>
    </row>
    <row r="6" spans="1:11" ht="53.25" customHeight="1" thickBot="1" x14ac:dyDescent="0.25">
      <c r="A6" s="108"/>
      <c r="B6" s="108"/>
      <c r="D6" s="55" t="s">
        <v>2</v>
      </c>
      <c r="E6" s="66">
        <f>E5/7</f>
        <v>0.22904761904761789</v>
      </c>
      <c r="F6" s="59" t="s">
        <v>89</v>
      </c>
      <c r="G6" s="60" t="s">
        <v>37</v>
      </c>
    </row>
    <row r="7" spans="1:11" ht="27" customHeight="1" thickBot="1" x14ac:dyDescent="0.25">
      <c r="A7" s="6" t="s">
        <v>10</v>
      </c>
      <c r="B7" s="7">
        <v>2016</v>
      </c>
      <c r="D7" s="61" t="s">
        <v>18</v>
      </c>
      <c r="E7" s="66">
        <f>E6/12</f>
        <v>1.908730158730149E-2</v>
      </c>
      <c r="F7" s="62">
        <f>'Downtime Calculator'!H7</f>
        <v>-0.1714485596707819</v>
      </c>
      <c r="G7" s="63">
        <f>G5/F5</f>
        <v>-1.2858641975308642E-2</v>
      </c>
    </row>
    <row r="8" spans="1:11" ht="30.75" customHeight="1" thickBot="1" x14ac:dyDescent="0.25">
      <c r="A8" s="6" t="s">
        <v>46</v>
      </c>
      <c r="B8" s="9">
        <v>7.4999999999999997E-2</v>
      </c>
      <c r="D8" s="100" t="s">
        <v>38</v>
      </c>
      <c r="E8" s="102" t="s">
        <v>33</v>
      </c>
      <c r="F8" s="100" t="s">
        <v>83</v>
      </c>
      <c r="G8" s="104" t="s">
        <v>76</v>
      </c>
      <c r="K8" s="151"/>
    </row>
    <row r="9" spans="1:11" ht="16.5" thickBot="1" x14ac:dyDescent="0.25">
      <c r="A9" s="6" t="s">
        <v>47</v>
      </c>
      <c r="B9" s="10">
        <v>7500000</v>
      </c>
      <c r="D9" s="101"/>
      <c r="E9" s="103"/>
      <c r="F9" s="101"/>
      <c r="G9" s="105"/>
    </row>
    <row r="10" spans="1:11" ht="26.25" customHeight="1" thickBot="1" x14ac:dyDescent="0.25">
      <c r="A10" s="6" t="s">
        <v>51</v>
      </c>
      <c r="B10" s="10">
        <v>2500000</v>
      </c>
      <c r="D10" s="64" t="s">
        <v>59</v>
      </c>
      <c r="E10" s="67">
        <f>+'Downtime Calculator'!H19</f>
        <v>-37092.5</v>
      </c>
      <c r="F10" s="67">
        <f>'Downtime Calculator'!H27</f>
        <v>-199800</v>
      </c>
      <c r="G10" s="82">
        <f>E10+(F10*'Downtime Calculator'!B3)</f>
        <v>-52077.5</v>
      </c>
    </row>
    <row r="11" spans="1:11" ht="22.5" customHeight="1" thickBot="1" x14ac:dyDescent="0.25">
      <c r="A11" s="6" t="s">
        <v>48</v>
      </c>
      <c r="B11" s="10">
        <v>54000000</v>
      </c>
      <c r="D11" s="64" t="s">
        <v>34</v>
      </c>
      <c r="E11" s="67">
        <f>'Downtime Calculator'!G10</f>
        <v>-74185</v>
      </c>
      <c r="F11" s="67">
        <f>'Downtime Calculator'!H10</f>
        <v>-399600</v>
      </c>
      <c r="G11" s="82">
        <f>E11+(F11*'Downtime Calculator'!B3)</f>
        <v>-104155</v>
      </c>
    </row>
    <row r="12" spans="1:11" ht="21" customHeight="1" thickBot="1" x14ac:dyDescent="0.25">
      <c r="A12" s="6" t="s">
        <v>49</v>
      </c>
      <c r="B12" s="10">
        <v>0</v>
      </c>
      <c r="D12" s="64" t="s">
        <v>35</v>
      </c>
      <c r="E12" s="67">
        <f>'Downtime Calculator'!G11</f>
        <v>-185462.5</v>
      </c>
      <c r="F12" s="67">
        <f>'Downtime Calculator'!H11</f>
        <v>-999000</v>
      </c>
      <c r="G12" s="82">
        <f>E12+(F12*'Downtime Calculator'!B3)</f>
        <v>-260387.5</v>
      </c>
    </row>
    <row r="13" spans="1:11" ht="16.5" thickBot="1" x14ac:dyDescent="0.25">
      <c r="A13" s="6" t="s">
        <v>50</v>
      </c>
      <c r="B13" s="10">
        <v>0</v>
      </c>
      <c r="D13" s="64" t="s">
        <v>36</v>
      </c>
      <c r="E13" s="67">
        <f>'Downtime Calculator'!G12</f>
        <v>-370925</v>
      </c>
      <c r="F13" s="67">
        <f>'Downtime Calculator'!H12</f>
        <v>-1998000</v>
      </c>
      <c r="G13" s="82">
        <f>E13+(F13*'Downtime Calculator'!B3)</f>
        <v>-520775</v>
      </c>
    </row>
    <row r="14" spans="1:11" ht="31.5" customHeight="1" x14ac:dyDescent="0.2">
      <c r="A14" s="6" t="s">
        <v>57</v>
      </c>
      <c r="B14" s="11">
        <v>25000</v>
      </c>
      <c r="D14" s="154" t="s">
        <v>90</v>
      </c>
      <c r="E14" s="154"/>
      <c r="F14" s="154"/>
      <c r="G14" s="154"/>
    </row>
    <row r="15" spans="1:11" ht="15.75" x14ac:dyDescent="0.2">
      <c r="A15" s="12" t="s">
        <v>45</v>
      </c>
      <c r="B15" s="13">
        <v>8</v>
      </c>
      <c r="D15" s="155"/>
      <c r="E15" s="155"/>
      <c r="F15" s="155"/>
      <c r="G15" s="155"/>
    </row>
    <row r="16" spans="1:11" ht="15.75" x14ac:dyDescent="0.2">
      <c r="A16" s="12" t="s">
        <v>26</v>
      </c>
      <c r="B16" s="13">
        <v>5</v>
      </c>
      <c r="D16" s="155"/>
      <c r="E16" s="155"/>
      <c r="F16" s="155"/>
      <c r="G16" s="155"/>
    </row>
    <row r="17" spans="1:7" ht="15.75" x14ac:dyDescent="0.2">
      <c r="A17" s="6" t="s">
        <v>17</v>
      </c>
      <c r="B17" s="13">
        <v>1</v>
      </c>
      <c r="D17" s="155"/>
      <c r="E17" s="155"/>
      <c r="F17" s="155"/>
      <c r="G17" s="155"/>
    </row>
    <row r="18" spans="1:7" ht="15.75" x14ac:dyDescent="0.2">
      <c r="A18" s="6" t="s">
        <v>44</v>
      </c>
      <c r="B18" s="14">
        <v>0.98150000000000004</v>
      </c>
      <c r="D18" s="155"/>
      <c r="E18" s="155"/>
      <c r="F18" s="155"/>
      <c r="G18" s="155"/>
    </row>
    <row r="19" spans="1:7" ht="31.5" x14ac:dyDescent="0.2">
      <c r="A19" s="6" t="s">
        <v>32</v>
      </c>
      <c r="B19" s="14">
        <v>1</v>
      </c>
      <c r="D19" s="155"/>
      <c r="E19" s="155"/>
      <c r="F19" s="155"/>
      <c r="G19" s="155"/>
    </row>
    <row r="20" spans="1:7" x14ac:dyDescent="0.2">
      <c r="B20" s="8"/>
    </row>
    <row r="38" spans="1:4" x14ac:dyDescent="0.2">
      <c r="A38" s="152"/>
      <c r="B38" s="153"/>
      <c r="C38" s="153"/>
      <c r="D38" s="153"/>
    </row>
    <row r="39" spans="1:4" x14ac:dyDescent="0.2">
      <c r="A39" s="153"/>
      <c r="B39" s="153"/>
      <c r="C39" s="153"/>
      <c r="D39" s="153"/>
    </row>
    <row r="40" spans="1:4" x14ac:dyDescent="0.2">
      <c r="A40" s="153"/>
      <c r="B40" s="153"/>
      <c r="C40" s="153"/>
      <c r="D40" s="153"/>
    </row>
    <row r="41" spans="1:4" x14ac:dyDescent="0.2">
      <c r="A41" s="153"/>
      <c r="B41" s="153"/>
      <c r="C41" s="153"/>
      <c r="D41" s="153"/>
    </row>
    <row r="42" spans="1:4" x14ac:dyDescent="0.2">
      <c r="A42" s="153"/>
      <c r="B42" s="153"/>
      <c r="C42" s="153"/>
      <c r="D42" s="153"/>
    </row>
  </sheetData>
  <sheetProtection password="FD11" sheet="1" objects="1" scenarios="1" selectLockedCells="1"/>
  <mergeCells count="12">
    <mergeCell ref="A38:D42"/>
    <mergeCell ref="D14:G19"/>
    <mergeCell ref="D8:D9"/>
    <mergeCell ref="E8:E9"/>
    <mergeCell ref="F8:F9"/>
    <mergeCell ref="G8:G9"/>
    <mergeCell ref="A1:B1"/>
    <mergeCell ref="A2:B6"/>
    <mergeCell ref="D2:E2"/>
    <mergeCell ref="F2:F3"/>
    <mergeCell ref="D1:G1"/>
    <mergeCell ref="G2:G3"/>
  </mergeCells>
  <phoneticPr fontId="1" type="noConversion"/>
  <pageMargins left="0.1" right="0.1" top="0.5" bottom="0.25" header="0" footer="0.5"/>
  <pageSetup orientation="landscape" r:id="rId1"/>
  <headerFooter alignWithMargins="0">
    <oddFooter>&amp;L
P O Box 1366
Mansfield, Ohio 44901
gzeigler@spgsamerica.com&amp;CPage &amp;P&amp;R&amp;G</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8"/>
  <sheetViews>
    <sheetView topLeftCell="A13" workbookViewId="0">
      <selection activeCell="H7" sqref="H7"/>
    </sheetView>
  </sheetViews>
  <sheetFormatPr defaultRowHeight="12.75" x14ac:dyDescent="0.2"/>
  <cols>
    <col min="1" max="1" width="53.7109375" customWidth="1"/>
    <col min="2" max="2" width="16.85546875" customWidth="1"/>
    <col min="3" max="3" width="7.5703125" customWidth="1"/>
    <col min="4" max="4" width="17.140625" customWidth="1"/>
    <col min="5" max="5" width="17.42578125" customWidth="1"/>
    <col min="6" max="6" width="18.5703125" customWidth="1"/>
    <col min="7" max="7" width="17.7109375" customWidth="1"/>
    <col min="8" max="8" width="19" customWidth="1"/>
    <col min="9" max="9" width="19.42578125" customWidth="1"/>
    <col min="11" max="11" width="21.140625" bestFit="1" customWidth="1"/>
  </cols>
  <sheetData>
    <row r="1" spans="1:11" ht="55.5" customHeight="1" thickBot="1" x14ac:dyDescent="0.25">
      <c r="A1" s="143" t="s">
        <v>27</v>
      </c>
      <c r="B1" s="144"/>
      <c r="C1" s="144"/>
      <c r="D1" s="144"/>
      <c r="E1" s="144"/>
      <c r="F1" s="144"/>
      <c r="G1" s="144"/>
      <c r="H1" s="144"/>
      <c r="I1" s="145"/>
    </row>
    <row r="2" spans="1:11" ht="26.25" customHeight="1" thickBot="1" x14ac:dyDescent="0.3">
      <c r="A2" s="99" t="str">
        <f>Instructions!A7</f>
        <v>Fiscal Year</v>
      </c>
      <c r="B2" s="20">
        <f>Instructions!B7</f>
        <v>2016</v>
      </c>
      <c r="C2" s="41" t="s">
        <v>75</v>
      </c>
      <c r="D2" s="120" t="s">
        <v>6</v>
      </c>
      <c r="E2" s="121"/>
      <c r="F2" s="122" t="s">
        <v>56</v>
      </c>
      <c r="G2" s="122"/>
      <c r="H2" s="148" t="s">
        <v>53</v>
      </c>
      <c r="I2" s="150" t="s">
        <v>54</v>
      </c>
      <c r="J2" s="2"/>
    </row>
    <row r="3" spans="1:11" ht="15.75" thickBot="1" x14ac:dyDescent="0.3">
      <c r="A3" s="99" t="str">
        <f>Instructions!A8</f>
        <v>Company's Gross Profit Margin (in Percentages)</v>
      </c>
      <c r="B3" s="21">
        <f>Instructions!B8</f>
        <v>7.4999999999999997E-2</v>
      </c>
      <c r="C3" s="42"/>
      <c r="D3" s="27" t="s">
        <v>19</v>
      </c>
      <c r="E3" s="28">
        <f>60*B23</f>
        <v>58.89</v>
      </c>
      <c r="F3" s="29" t="s">
        <v>5</v>
      </c>
      <c r="G3" s="30">
        <f>(60*$B$14*B13)-(60*$B$14*$B$13*B23)</f>
        <v>2308.7999999999884</v>
      </c>
      <c r="H3" s="149"/>
      <c r="I3" s="129"/>
      <c r="J3" s="2"/>
    </row>
    <row r="4" spans="1:11" ht="15.75" thickBot="1" x14ac:dyDescent="0.3">
      <c r="A4" s="54"/>
      <c r="B4" s="39"/>
      <c r="C4" s="42"/>
      <c r="D4" s="27" t="s">
        <v>20</v>
      </c>
      <c r="E4" s="28">
        <f>24*B23</f>
        <v>23.556000000000001</v>
      </c>
      <c r="F4" s="29" t="s">
        <v>4</v>
      </c>
      <c r="G4" s="30">
        <f>G3/60</f>
        <v>38.479999999999805</v>
      </c>
      <c r="H4" s="15">
        <f>B2</f>
        <v>2016</v>
      </c>
      <c r="I4" s="29">
        <f>B2</f>
        <v>2016</v>
      </c>
      <c r="J4" s="2"/>
    </row>
    <row r="5" spans="1:11" ht="15.75" thickBot="1" x14ac:dyDescent="0.3">
      <c r="A5" s="99" t="str">
        <f>Instructions!A9</f>
        <v>Total Labor Cost Per Year (in Dollars)</v>
      </c>
      <c r="B5" s="22">
        <f>Instructions!B9</f>
        <v>7500000</v>
      </c>
      <c r="C5" s="43"/>
      <c r="D5" s="27" t="s">
        <v>21</v>
      </c>
      <c r="E5" s="28">
        <f>7*B23</f>
        <v>6.8704999999999998</v>
      </c>
      <c r="F5" s="29" t="s">
        <v>3</v>
      </c>
      <c r="G5" s="30">
        <f>G4/24</f>
        <v>1.6033333333333253</v>
      </c>
      <c r="H5" s="16">
        <f>G27*B3</f>
        <v>4050000</v>
      </c>
      <c r="I5" s="33">
        <f>H27*B3+H19</f>
        <v>-52077.5</v>
      </c>
      <c r="J5" s="2"/>
    </row>
    <row r="6" spans="1:11" ht="39" customHeight="1" thickBot="1" x14ac:dyDescent="0.3">
      <c r="A6" s="99" t="str">
        <f>Instructions!A10</f>
        <v>Total Overhead Cost (in Dollars)</v>
      </c>
      <c r="B6" s="26">
        <f>Instructions!B10</f>
        <v>2500000</v>
      </c>
      <c r="C6" s="43"/>
      <c r="D6" s="27" t="s">
        <v>22</v>
      </c>
      <c r="E6" s="28">
        <f>4*B23</f>
        <v>3.9260000000000002</v>
      </c>
      <c r="F6" s="29" t="s">
        <v>2</v>
      </c>
      <c r="G6" s="30">
        <f>G5/7</f>
        <v>0.22904761904761789</v>
      </c>
      <c r="H6" s="17" t="s">
        <v>39</v>
      </c>
      <c r="I6" s="96" t="s">
        <v>37</v>
      </c>
      <c r="J6" s="2"/>
    </row>
    <row r="7" spans="1:11" ht="31.5" customHeight="1" thickBot="1" x14ac:dyDescent="0.3">
      <c r="A7" s="99" t="s">
        <v>0</v>
      </c>
      <c r="B7" s="23">
        <f>B5+B6</f>
        <v>10000000</v>
      </c>
      <c r="C7" s="43"/>
      <c r="D7" s="27" t="s">
        <v>23</v>
      </c>
      <c r="E7" s="28">
        <f>12*B23</f>
        <v>11.778</v>
      </c>
      <c r="F7" s="30" t="s">
        <v>18</v>
      </c>
      <c r="G7" s="30">
        <f>G6/12</f>
        <v>1.908730158730149E-2</v>
      </c>
      <c r="H7" s="80">
        <f>I7/B3</f>
        <v>-0.1714485596707819</v>
      </c>
      <c r="I7" s="81">
        <f>I5/H5</f>
        <v>-1.2858641975308642E-2</v>
      </c>
      <c r="J7" s="2"/>
      <c r="K7" s="78"/>
    </row>
    <row r="8" spans="1:11" ht="15.75" thickBot="1" x14ac:dyDescent="0.3">
      <c r="A8" s="54"/>
      <c r="B8" s="40"/>
      <c r="C8" s="43"/>
      <c r="D8" s="125" t="s">
        <v>31</v>
      </c>
      <c r="E8" s="126"/>
      <c r="F8" s="123" t="s">
        <v>38</v>
      </c>
      <c r="G8" s="127" t="s">
        <v>33</v>
      </c>
      <c r="H8" s="129" t="s">
        <v>83</v>
      </c>
      <c r="I8" s="146" t="s">
        <v>54</v>
      </c>
      <c r="J8" s="2"/>
    </row>
    <row r="9" spans="1:11" ht="30.75" thickBot="1" x14ac:dyDescent="0.3">
      <c r="A9" s="99" t="str">
        <f>Instructions!A11</f>
        <v>Total Production Value Per Year (in Dollars)</v>
      </c>
      <c r="B9" s="46">
        <f>Instructions!B11</f>
        <v>54000000</v>
      </c>
      <c r="C9" s="43"/>
      <c r="D9" s="31" t="s">
        <v>28</v>
      </c>
      <c r="E9" s="32">
        <f>$B$24*8</f>
        <v>38557.692307692305</v>
      </c>
      <c r="F9" s="124"/>
      <c r="G9" s="128"/>
      <c r="H9" s="130"/>
      <c r="I9" s="147"/>
      <c r="J9" s="2"/>
      <c r="K9" s="79"/>
    </row>
    <row r="10" spans="1:11" ht="30.75" thickBot="1" x14ac:dyDescent="0.3">
      <c r="A10" s="99" t="str">
        <f>Instructions!A12</f>
        <v>Total Other Income Value Per Year (in Dollars)</v>
      </c>
      <c r="B10" s="46">
        <f>Instructions!B12</f>
        <v>0</v>
      </c>
      <c r="C10" s="43"/>
      <c r="D10" s="31" t="s">
        <v>29</v>
      </c>
      <c r="E10" s="32">
        <f>$B$9/$B$13/24*8</f>
        <v>69230.769230769234</v>
      </c>
      <c r="F10" s="97" t="s">
        <v>34</v>
      </c>
      <c r="G10" s="77">
        <f>H19*2</f>
        <v>-74185</v>
      </c>
      <c r="H10" s="33">
        <f>H27*2</f>
        <v>-399600</v>
      </c>
      <c r="I10" s="69">
        <f>G10+(H10*B3)</f>
        <v>-104155</v>
      </c>
      <c r="J10" s="2"/>
    </row>
    <row r="11" spans="1:11" ht="15.75" thickBot="1" x14ac:dyDescent="0.3">
      <c r="A11" s="99" t="str">
        <f>Instructions!A13</f>
        <v>Total Custom Value Per Year (in Dollars)</v>
      </c>
      <c r="B11" s="46">
        <f>Instructions!B13</f>
        <v>0</v>
      </c>
      <c r="C11" s="43"/>
      <c r="D11" s="31" t="s">
        <v>77</v>
      </c>
      <c r="E11" s="32">
        <f>$B$10/$B$13/24*8</f>
        <v>0</v>
      </c>
      <c r="F11" s="97" t="s">
        <v>35</v>
      </c>
      <c r="G11" s="77">
        <f>H19*5</f>
        <v>-185462.5</v>
      </c>
      <c r="H11" s="33">
        <f>H27*5</f>
        <v>-999000</v>
      </c>
      <c r="I11" s="69">
        <f>G11+(H11*B3)</f>
        <v>-260387.5</v>
      </c>
      <c r="J11" s="2"/>
    </row>
    <row r="12" spans="1:11" ht="33" customHeight="1" thickBot="1" x14ac:dyDescent="0.3">
      <c r="A12" s="99" t="str">
        <f>Instructions!A14</f>
        <v>Total Equipment Replacement or Repair Cost Value Per Year (in Dollars)</v>
      </c>
      <c r="B12" s="47">
        <v>25000</v>
      </c>
      <c r="C12" s="42"/>
      <c r="D12" s="31" t="s">
        <v>30</v>
      </c>
      <c r="E12" s="32">
        <f>$B$11/$B$13/24*8</f>
        <v>0</v>
      </c>
      <c r="F12" s="97" t="s">
        <v>36</v>
      </c>
      <c r="G12" s="77">
        <f>H19*10</f>
        <v>-370925</v>
      </c>
      <c r="H12" s="33">
        <f>H27*10</f>
        <v>-1998000</v>
      </c>
      <c r="I12" s="69">
        <f>G12+(H12*B3)</f>
        <v>-520775</v>
      </c>
      <c r="J12" s="2"/>
    </row>
    <row r="13" spans="1:11" ht="18" customHeight="1" thickBot="1" x14ac:dyDescent="0.3">
      <c r="A13" s="99" t="s">
        <v>24</v>
      </c>
      <c r="B13" s="48">
        <f>B15*52</f>
        <v>260</v>
      </c>
      <c r="C13" s="83"/>
      <c r="D13" s="131" t="s">
        <v>40</v>
      </c>
      <c r="E13" s="132"/>
      <c r="F13" s="133"/>
      <c r="G13" s="134" t="s">
        <v>41</v>
      </c>
      <c r="H13" s="135"/>
      <c r="I13" s="136"/>
      <c r="J13" s="2"/>
    </row>
    <row r="14" spans="1:11" ht="15.75" thickBot="1" x14ac:dyDescent="0.3">
      <c r="A14" s="99" t="s">
        <v>25</v>
      </c>
      <c r="B14" s="48">
        <f>Instructions!B15</f>
        <v>8</v>
      </c>
      <c r="C14" s="84"/>
      <c r="D14" s="34" t="s">
        <v>0</v>
      </c>
      <c r="E14" s="38" t="s">
        <v>9</v>
      </c>
      <c r="F14" s="18" t="s">
        <v>81</v>
      </c>
      <c r="G14" s="18" t="s">
        <v>0</v>
      </c>
      <c r="H14" s="38" t="s">
        <v>9</v>
      </c>
      <c r="I14" s="34" t="s">
        <v>78</v>
      </c>
      <c r="J14" s="2"/>
    </row>
    <row r="15" spans="1:11" ht="15.75" thickBot="1" x14ac:dyDescent="0.3">
      <c r="A15" s="99" t="s">
        <v>26</v>
      </c>
      <c r="B15" s="48">
        <f>Instructions!B16</f>
        <v>5</v>
      </c>
      <c r="C15" s="44" t="s">
        <v>7</v>
      </c>
      <c r="D15" s="68">
        <f>B24</f>
        <v>4819.7115384615381</v>
      </c>
      <c r="E15" s="74">
        <f>$B$26*$D$15-$D$15</f>
        <v>-17.832932692307622</v>
      </c>
      <c r="F15" s="35">
        <f>D15+E15</f>
        <v>4801.8786057692305</v>
      </c>
      <c r="G15" s="35">
        <f t="shared" ref="G15:I19" si="0">D15/$B$21</f>
        <v>4819.7115384615381</v>
      </c>
      <c r="H15" s="74">
        <f t="shared" si="0"/>
        <v>-17.832932692307622</v>
      </c>
      <c r="I15" s="35">
        <f t="shared" si="0"/>
        <v>4801.8786057692305</v>
      </c>
      <c r="J15" s="2"/>
    </row>
    <row r="16" spans="1:11" ht="15.75" thickBot="1" x14ac:dyDescent="0.3">
      <c r="A16" s="99" t="s">
        <v>14</v>
      </c>
      <c r="B16" s="49">
        <f>B9/B21/B13/B14</f>
        <v>25961.538461538461</v>
      </c>
      <c r="C16" s="45" t="s">
        <v>8</v>
      </c>
      <c r="D16" s="68">
        <f>B24*8</f>
        <v>38557.692307692305</v>
      </c>
      <c r="E16" s="74">
        <f>$B$26*$D$16-$D$16</f>
        <v>-142.66346153846098</v>
      </c>
      <c r="F16" s="35">
        <f t="shared" ref="F16:F19" si="1">D16+E16</f>
        <v>38415.028846153844</v>
      </c>
      <c r="G16" s="35">
        <f t="shared" si="0"/>
        <v>38557.692307692305</v>
      </c>
      <c r="H16" s="74">
        <f t="shared" si="0"/>
        <v>-142.66346153846098</v>
      </c>
      <c r="I16" s="35">
        <f t="shared" si="0"/>
        <v>38415.028846153844</v>
      </c>
      <c r="J16" s="2"/>
    </row>
    <row r="17" spans="1:10" ht="15.75" thickBot="1" x14ac:dyDescent="0.3">
      <c r="A17" s="99" t="s">
        <v>15</v>
      </c>
      <c r="B17" s="49">
        <f>B10/B21/B13/B14</f>
        <v>0</v>
      </c>
      <c r="C17" s="45" t="s">
        <v>11</v>
      </c>
      <c r="D17" s="68">
        <f>B24*8*5</f>
        <v>192788.46153846153</v>
      </c>
      <c r="E17" s="74">
        <f>$B$26*$D$17-$D$17</f>
        <v>-713.31730769231217</v>
      </c>
      <c r="F17" s="35">
        <f t="shared" si="1"/>
        <v>192075.14423076922</v>
      </c>
      <c r="G17" s="35">
        <f t="shared" si="0"/>
        <v>192788.46153846153</v>
      </c>
      <c r="H17" s="74">
        <f t="shared" si="0"/>
        <v>-713.31730769231217</v>
      </c>
      <c r="I17" s="35">
        <f t="shared" si="0"/>
        <v>192075.14423076922</v>
      </c>
      <c r="J17" s="2"/>
    </row>
    <row r="18" spans="1:10" ht="15.75" thickBot="1" x14ac:dyDescent="0.3">
      <c r="A18" s="99" t="s">
        <v>16</v>
      </c>
      <c r="B18" s="49">
        <f>B11/B21/B13/B14</f>
        <v>0</v>
      </c>
      <c r="C18" s="45" t="s">
        <v>12</v>
      </c>
      <c r="D18" s="68">
        <f>(B24*B14*B13)/12</f>
        <v>835416.66666666663</v>
      </c>
      <c r="E18" s="74">
        <f>$B$26*$D$18-$D$18</f>
        <v>-3091.0416666667443</v>
      </c>
      <c r="F18" s="35">
        <f t="shared" si="1"/>
        <v>832325.62499999988</v>
      </c>
      <c r="G18" s="35">
        <f t="shared" si="0"/>
        <v>835416.66666666663</v>
      </c>
      <c r="H18" s="74">
        <f t="shared" si="0"/>
        <v>-3091.0416666667443</v>
      </c>
      <c r="I18" s="35">
        <f t="shared" si="0"/>
        <v>832325.62499999988</v>
      </c>
      <c r="J18" s="2"/>
    </row>
    <row r="19" spans="1:10" ht="15.75" thickBot="1" x14ac:dyDescent="0.3">
      <c r="A19" s="87"/>
      <c r="B19" s="50"/>
      <c r="C19" s="85" t="s">
        <v>13</v>
      </c>
      <c r="D19" s="68">
        <f>B24*B14*B13</f>
        <v>10025000</v>
      </c>
      <c r="E19" s="74">
        <f>$B$26*$D$19-$D$19</f>
        <v>-37092.5</v>
      </c>
      <c r="F19" s="35">
        <f t="shared" si="1"/>
        <v>9987907.5</v>
      </c>
      <c r="G19" s="35">
        <f t="shared" si="0"/>
        <v>10025000</v>
      </c>
      <c r="H19" s="74">
        <f t="shared" si="0"/>
        <v>-37092.5</v>
      </c>
      <c r="I19" s="35">
        <f t="shared" si="0"/>
        <v>9987907.5</v>
      </c>
      <c r="J19" s="2"/>
    </row>
    <row r="20" spans="1:10" ht="15.75" thickBot="1" x14ac:dyDescent="0.3">
      <c r="A20" s="88" t="s">
        <v>1</v>
      </c>
      <c r="B20" s="51" t="s">
        <v>1</v>
      </c>
      <c r="C20" s="119"/>
      <c r="D20" s="115" t="s">
        <v>42</v>
      </c>
      <c r="E20" s="115"/>
      <c r="F20" s="116"/>
      <c r="G20" s="137" t="s">
        <v>43</v>
      </c>
      <c r="H20" s="138"/>
      <c r="I20" s="139"/>
      <c r="J20" s="2"/>
    </row>
    <row r="21" spans="1:10" ht="13.5" customHeight="1" thickBot="1" x14ac:dyDescent="0.3">
      <c r="A21" s="99" t="s">
        <v>17</v>
      </c>
      <c r="B21" s="52">
        <f>Instructions!B17</f>
        <v>1</v>
      </c>
      <c r="C21" s="119"/>
      <c r="D21" s="117"/>
      <c r="E21" s="117"/>
      <c r="F21" s="118"/>
      <c r="G21" s="140"/>
      <c r="H21" s="141"/>
      <c r="I21" s="142"/>
      <c r="J21" s="2"/>
    </row>
    <row r="22" spans="1:10" ht="30" customHeight="1" thickBot="1" x14ac:dyDescent="0.3">
      <c r="A22" s="89"/>
      <c r="B22" s="90"/>
      <c r="C22" s="86"/>
      <c r="D22" s="65" t="s">
        <v>82</v>
      </c>
      <c r="E22" s="98" t="s">
        <v>79</v>
      </c>
      <c r="F22" s="71" t="s">
        <v>80</v>
      </c>
      <c r="G22" s="72" t="s">
        <v>82</v>
      </c>
      <c r="H22" s="75" t="s">
        <v>79</v>
      </c>
      <c r="I22" s="73" t="s">
        <v>80</v>
      </c>
      <c r="J22" s="2"/>
    </row>
    <row r="23" spans="1:10" ht="17.25" customHeight="1" thickBot="1" x14ac:dyDescent="0.3">
      <c r="A23" s="99" t="str">
        <f>Instructions!A18</f>
        <v>Percentage of Up Time Desired in %</v>
      </c>
      <c r="B23" s="53">
        <v>0.98150000000000004</v>
      </c>
      <c r="C23" s="44" t="s">
        <v>7</v>
      </c>
      <c r="D23" s="70">
        <f>B25</f>
        <v>25961.538461538461</v>
      </c>
      <c r="E23" s="74">
        <f>$B$26*$D$23-$D$23</f>
        <v>-96.057692307691468</v>
      </c>
      <c r="F23" s="35">
        <f>D23-E23</f>
        <v>26057.596153846152</v>
      </c>
      <c r="G23" s="37">
        <f t="shared" ref="G23:I27" si="2">D23/$B$21</f>
        <v>25961.538461538461</v>
      </c>
      <c r="H23" s="76">
        <f t="shared" si="2"/>
        <v>-96.057692307691468</v>
      </c>
      <c r="I23" s="36">
        <f t="shared" si="2"/>
        <v>26057.596153846152</v>
      </c>
      <c r="J23" s="2"/>
    </row>
    <row r="24" spans="1:10" ht="15.75" thickBot="1" x14ac:dyDescent="0.3">
      <c r="A24" s="99" t="s">
        <v>74</v>
      </c>
      <c r="B24" s="49">
        <f>($B$7+$B$12)/$B$13/$B$14</f>
        <v>4819.7115384615381</v>
      </c>
      <c r="C24" s="45" t="s">
        <v>8</v>
      </c>
      <c r="D24" s="70">
        <f>B25*8</f>
        <v>207692.30769230769</v>
      </c>
      <c r="E24" s="74">
        <f>$B$26*$D$24-$D$24</f>
        <v>-768.46153846153175</v>
      </c>
      <c r="F24" s="35">
        <f>D24+E24</f>
        <v>206923.84615384616</v>
      </c>
      <c r="G24" s="37">
        <f t="shared" si="2"/>
        <v>207692.30769230769</v>
      </c>
      <c r="H24" s="76">
        <f t="shared" si="2"/>
        <v>-768.46153846153175</v>
      </c>
      <c r="I24" s="36">
        <f t="shared" si="2"/>
        <v>206923.84615384616</v>
      </c>
      <c r="J24" s="2"/>
    </row>
    <row r="25" spans="1:10" ht="30.75" thickBot="1" x14ac:dyDescent="0.3">
      <c r="A25" s="99" t="s">
        <v>73</v>
      </c>
      <c r="B25" s="49">
        <f>SUM(B9:B11)/$B$13/$B$14</f>
        <v>25961.538461538461</v>
      </c>
      <c r="C25" s="45" t="s">
        <v>11</v>
      </c>
      <c r="D25" s="70">
        <f>B25*8*5</f>
        <v>1038461.5384615385</v>
      </c>
      <c r="E25" s="74">
        <f>$B$26*$D$25-$D$25</f>
        <v>-3842.307692307746</v>
      </c>
      <c r="F25" s="35">
        <f>D25-E25</f>
        <v>1042303.8461538462</v>
      </c>
      <c r="G25" s="37">
        <f t="shared" si="2"/>
        <v>1038461.5384615385</v>
      </c>
      <c r="H25" s="76">
        <f t="shared" si="2"/>
        <v>-3842.307692307746</v>
      </c>
      <c r="I25" s="36">
        <f t="shared" si="2"/>
        <v>1042303.8461538462</v>
      </c>
      <c r="J25" s="2"/>
    </row>
    <row r="26" spans="1:10" ht="15.75" thickBot="1" x14ac:dyDescent="0.3">
      <c r="A26" s="113" t="s">
        <v>32</v>
      </c>
      <c r="B26" s="114">
        <v>0.99629999999999996</v>
      </c>
      <c r="C26" s="45" t="s">
        <v>12</v>
      </c>
      <c r="D26" s="70">
        <f>B25*B14*B13/12</f>
        <v>4500000</v>
      </c>
      <c r="E26" s="74">
        <f>$B$26*$D$26-$D$26</f>
        <v>-16650</v>
      </c>
      <c r="F26" s="35">
        <f>D26-E26</f>
        <v>4516650</v>
      </c>
      <c r="G26" s="37">
        <f t="shared" si="2"/>
        <v>4500000</v>
      </c>
      <c r="H26" s="76">
        <f t="shared" si="2"/>
        <v>-16650</v>
      </c>
      <c r="I26" s="36">
        <f t="shared" si="2"/>
        <v>4516650</v>
      </c>
      <c r="J26" s="2"/>
    </row>
    <row r="27" spans="1:10" ht="15.75" thickBot="1" x14ac:dyDescent="0.3">
      <c r="A27" s="113"/>
      <c r="B27" s="114"/>
      <c r="C27" s="45" t="s">
        <v>13</v>
      </c>
      <c r="D27" s="70">
        <f>B9+B10+B11</f>
        <v>54000000</v>
      </c>
      <c r="E27" s="74">
        <f>$B$26*$D$27-$D$27</f>
        <v>-199800</v>
      </c>
      <c r="F27" s="35">
        <f>D27-E27</f>
        <v>54199800</v>
      </c>
      <c r="G27" s="37">
        <f t="shared" si="2"/>
        <v>54000000</v>
      </c>
      <c r="H27" s="76">
        <f t="shared" si="2"/>
        <v>-199800</v>
      </c>
      <c r="I27" s="36">
        <f t="shared" si="2"/>
        <v>54199800</v>
      </c>
      <c r="J27" s="2"/>
    </row>
    <row r="28" spans="1:10" x14ac:dyDescent="0.2">
      <c r="A28" s="2"/>
      <c r="B28" s="19" t="s">
        <v>1</v>
      </c>
      <c r="C28" s="3"/>
      <c r="D28" s="4"/>
      <c r="E28" s="5"/>
      <c r="F28" s="2"/>
      <c r="G28" s="2"/>
      <c r="H28" s="2"/>
      <c r="I28" s="2"/>
    </row>
  </sheetData>
  <sheetProtection password="FD11" sheet="1" objects="1" scenarios="1" selectLockedCells="1"/>
  <mergeCells count="17">
    <mergeCell ref="H8:H9"/>
    <mergeCell ref="D13:F13"/>
    <mergeCell ref="G13:I13"/>
    <mergeCell ref="G20:I21"/>
    <mergeCell ref="A1:I1"/>
    <mergeCell ref="I8:I9"/>
    <mergeCell ref="H2:H3"/>
    <mergeCell ref="I2:I3"/>
    <mergeCell ref="A26:A27"/>
    <mergeCell ref="B26:B27"/>
    <mergeCell ref="D20:F21"/>
    <mergeCell ref="C20:C21"/>
    <mergeCell ref="D2:E2"/>
    <mergeCell ref="F2:G2"/>
    <mergeCell ref="F8:F9"/>
    <mergeCell ref="D8:E8"/>
    <mergeCell ref="G8:G9"/>
  </mergeCells>
  <phoneticPr fontId="1" type="noConversion"/>
  <pageMargins left="0.5" right="0" top="0.25" bottom="0" header="0" footer="0.35"/>
  <pageSetup paperSize="5" scale="90" orientation="landscape" r:id="rId1"/>
  <headerFooter alignWithMargins="0">
    <oddFooter>&amp;L
P O Box 1366
Mansfield, Ohio 4r4901
gzeigler@spgsamerica.com
&amp;8©SPGS and George Zeigler 2017&amp;CPage &amp;P&amp;R&amp;G</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Downtime Calculator Purpose</vt:lpstr>
      <vt:lpstr>Instructions</vt:lpstr>
      <vt:lpstr>Downtime Calculator</vt:lpstr>
    </vt:vector>
  </TitlesOfParts>
  <Company>Home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George Zeigler</dc:creator>
  <cp:lastModifiedBy>George Zeigler</cp:lastModifiedBy>
  <cp:lastPrinted>2017-03-23T19:19:03Z</cp:lastPrinted>
  <dcterms:created xsi:type="dcterms:W3CDTF">2008-12-20T13:09:38Z</dcterms:created>
  <dcterms:modified xsi:type="dcterms:W3CDTF">2017-03-23T19:36:25Z</dcterms:modified>
</cp:coreProperties>
</file>